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Default Extension="emf" ContentType="image/x-emf"/>
  <Override PartName="/xl/embeddings/oleObject10.bin" ContentType="application/vnd.openxmlformats-officedocument.oleObject"/>
  <Override PartName="/xl/embeddings/oleObject11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9.bin" ContentType="application/vnd.openxmlformats-officedocument.oleObject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base plate" sheetId="1" r:id="rId1"/>
    <sheet name="column cap" sheetId="4" r:id="rId2"/>
    <sheet name="Sheet2" sheetId="2" r:id="rId3"/>
    <sheet name="Sheet3" sheetId="3" r:id="rId4"/>
  </sheets>
  <definedNames>
    <definedName name="_xlnm.Print_Area" localSheetId="0">'base plate'!$A$1:$G$40</definedName>
    <definedName name="_xlnm.Print_Area" localSheetId="1">'column cap'!$A$1:$G$33</definedName>
    <definedName name="select_dia" localSheetId="1">'column cap'!$V$2:$V$8</definedName>
    <definedName name="select_dia">'base plate'!$V$2:$V$12</definedName>
  </definedNames>
  <calcPr calcId="124519"/>
</workbook>
</file>

<file path=xl/calcChain.xml><?xml version="1.0" encoding="utf-8"?>
<calcChain xmlns="http://schemas.openxmlformats.org/spreadsheetml/2006/main">
  <c r="B26" i="4"/>
  <c r="B29" s="1"/>
  <c r="B12"/>
  <c r="B13"/>
  <c r="B14"/>
  <c r="B22"/>
  <c r="B23" s="1"/>
  <c r="B25" s="1"/>
  <c r="B28" s="1"/>
  <c r="B8"/>
  <c r="B39" i="1"/>
  <c r="B9"/>
  <c r="B28"/>
  <c r="B29" s="1"/>
  <c r="B31" s="1"/>
  <c r="B34" s="1"/>
  <c r="B32"/>
  <c r="B33" s="1"/>
  <c r="B15" i="4" l="1"/>
  <c r="D16" s="1"/>
  <c r="B27"/>
  <c r="B30" s="1"/>
  <c r="B32" s="1"/>
  <c r="B35" i="1"/>
  <c r="B36" s="1"/>
  <c r="B38" s="1"/>
  <c r="B17"/>
  <c r="B18"/>
  <c r="B12"/>
  <c r="B13" s="1"/>
  <c r="B5"/>
  <c r="D12" l="1"/>
  <c r="B19"/>
  <c r="B20" l="1"/>
  <c r="B21" l="1"/>
  <c r="D22" s="1"/>
</calcChain>
</file>

<file path=xl/sharedStrings.xml><?xml version="1.0" encoding="utf-8"?>
<sst xmlns="http://schemas.openxmlformats.org/spreadsheetml/2006/main" count="129" uniqueCount="51">
  <si>
    <t>YIELD STRESS OF STEEL fy</t>
  </si>
  <si>
    <t>Grade Of concrete fck</t>
  </si>
  <si>
    <t>Factored Load on Column P</t>
  </si>
  <si>
    <t>kN</t>
  </si>
  <si>
    <t>Bearing Strength of concrete, fb = 0.45fck</t>
  </si>
  <si>
    <t>Length of Base plate L</t>
  </si>
  <si>
    <t>Width of Base Plate B</t>
  </si>
  <si>
    <t>mm</t>
  </si>
  <si>
    <t>Area Of Base Plate Provided Ap</t>
  </si>
  <si>
    <t>Area Of Base Plate Required, Ar= P/fb</t>
  </si>
  <si>
    <t>Size of Column along Length L</t>
  </si>
  <si>
    <t>Size of Column along Width B</t>
  </si>
  <si>
    <t>Side Gusset Plate Thickness</t>
  </si>
  <si>
    <t>Hence Cantilever along Length c1</t>
  </si>
  <si>
    <t>Hence Cantilever along Width c2</t>
  </si>
  <si>
    <t>Critical Cantilever c</t>
  </si>
  <si>
    <t>Hence Bearing Pressure on concrete, w=P/Ap</t>
  </si>
  <si>
    <t>N-mm</t>
  </si>
  <si>
    <t>Hence Provide Base Plate Thickness</t>
  </si>
  <si>
    <t>DESIGN OF BASE PLATE</t>
  </si>
  <si>
    <t>DESIGN OF BOLTS</t>
  </si>
  <si>
    <t>Assume Dia of Bolts</t>
  </si>
  <si>
    <t>select dia</t>
  </si>
  <si>
    <t>Tensile stress area</t>
  </si>
  <si>
    <t>Hence Tensile Stress Area, Anb</t>
  </si>
  <si>
    <t>Strength of Bolt in Single Shear, Vsb</t>
  </si>
  <si>
    <t>Assume pitch of Bolts p</t>
  </si>
  <si>
    <t>Strength of Bolt in Bearing, Vpb</t>
  </si>
  <si>
    <t>Tensile Stress of Bolt, Tdb</t>
  </si>
  <si>
    <t>Assume Efficiency of Connection</t>
  </si>
  <si>
    <t>%</t>
  </si>
  <si>
    <t>bolts</t>
  </si>
  <si>
    <t>No. Of Bolts Required, n1</t>
  </si>
  <si>
    <t>Hence Bolt Strength, Vb</t>
  </si>
  <si>
    <t>Length of Bolts</t>
  </si>
  <si>
    <t>Cl. 26.4.1.1 IS456:2000</t>
  </si>
  <si>
    <r>
      <t>N/mm</t>
    </r>
    <r>
      <rPr>
        <vertAlign val="superscript"/>
        <sz val="12"/>
        <color theme="1"/>
        <rFont val="Calibri"/>
        <family val="2"/>
        <scheme val="minor"/>
      </rPr>
      <t>2</t>
    </r>
  </si>
  <si>
    <r>
      <t xml:space="preserve">Bond Stress in Concrete </t>
    </r>
    <r>
      <rPr>
        <sz val="12"/>
        <color theme="1"/>
        <rFont val="Symbol"/>
        <family val="1"/>
        <charset val="2"/>
      </rPr>
      <t>t</t>
    </r>
    <r>
      <rPr>
        <vertAlign val="subscript"/>
        <sz val="12"/>
        <color theme="1"/>
        <rFont val="Calibri"/>
        <family val="2"/>
        <scheme val="minor"/>
      </rPr>
      <t>bd</t>
    </r>
  </si>
  <si>
    <r>
      <t xml:space="preserve">Partial FoS against yield stress and Buckling </t>
    </r>
    <r>
      <rPr>
        <i/>
        <sz val="12"/>
        <color theme="1"/>
        <rFont val="Symbol"/>
        <family val="1"/>
        <charset val="2"/>
      </rPr>
      <t>g</t>
    </r>
    <r>
      <rPr>
        <i/>
        <vertAlign val="subscript"/>
        <sz val="12"/>
        <color theme="1"/>
        <rFont val="Cambria"/>
        <family val="1"/>
        <scheme val="major"/>
      </rPr>
      <t>m0</t>
    </r>
  </si>
  <si>
    <r>
      <t>mm</t>
    </r>
    <r>
      <rPr>
        <vertAlign val="superscript"/>
        <sz val="12"/>
        <color theme="1"/>
        <rFont val="Calibri"/>
        <family val="2"/>
        <scheme val="minor"/>
      </rPr>
      <t>2</t>
    </r>
  </si>
  <si>
    <r>
      <t>Hence Maximum Moment Mx=wc</t>
    </r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/2</t>
    </r>
  </si>
  <si>
    <r>
      <t xml:space="preserve">Hence Thickness of Base plate </t>
    </r>
    <r>
      <rPr>
        <b/>
        <sz val="12"/>
        <color theme="1"/>
        <rFont val="Calibri"/>
        <family val="2"/>
        <scheme val="minor"/>
      </rPr>
      <t>'t'</t>
    </r>
    <r>
      <rPr>
        <sz val="12"/>
        <color theme="1"/>
        <rFont val="Calibri"/>
        <family val="2"/>
        <scheme val="minor"/>
      </rPr>
      <t xml:space="preserve"> by using equation:</t>
    </r>
  </si>
  <si>
    <r>
      <t>Grade of Bolts 4.6 Hence f</t>
    </r>
    <r>
      <rPr>
        <vertAlign val="subscript"/>
        <sz val="12"/>
        <color theme="1"/>
        <rFont val="Calibri"/>
        <family val="2"/>
        <scheme val="minor"/>
      </rPr>
      <t>ub</t>
    </r>
  </si>
  <si>
    <r>
      <t xml:space="preserve">Partial FoS for bearing type bolts </t>
    </r>
    <r>
      <rPr>
        <i/>
        <sz val="12"/>
        <color theme="1"/>
        <rFont val="Symbol"/>
        <family val="1"/>
        <charset val="2"/>
      </rPr>
      <t>g</t>
    </r>
    <r>
      <rPr>
        <i/>
        <vertAlign val="subscript"/>
        <sz val="12"/>
        <color theme="1"/>
        <rFont val="Cambria"/>
        <family val="1"/>
        <scheme val="major"/>
      </rPr>
      <t>mb</t>
    </r>
  </si>
  <si>
    <r>
      <t>Dia of Hole d</t>
    </r>
    <r>
      <rPr>
        <vertAlign val="subscript"/>
        <sz val="12"/>
        <color theme="1"/>
        <rFont val="Calibri"/>
        <family val="2"/>
        <scheme val="minor"/>
      </rPr>
      <t>o</t>
    </r>
  </si>
  <si>
    <r>
      <t>Distance to edge, e=1.5*d</t>
    </r>
    <r>
      <rPr>
        <vertAlign val="subscript"/>
        <sz val="12"/>
        <color theme="1"/>
        <rFont val="Calibri"/>
        <family val="2"/>
        <scheme val="minor"/>
      </rPr>
      <t>o</t>
    </r>
  </si>
  <si>
    <r>
      <t>k</t>
    </r>
    <r>
      <rPr>
        <vertAlign val="subscript"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>=min of e/3do,p/3do-0.25 &amp;1)</t>
    </r>
  </si>
  <si>
    <t>DESIGN OF BASE PLATE AND ANCHOR BOLTS AS PER IS800:2007</t>
  </si>
  <si>
    <t>DESIGN OF COLUMN CAP AND ANCHOR BOLTS AS PER IS800:2007</t>
  </si>
  <si>
    <t>Hence Maximum PRESSURE w=P/A</t>
  </si>
  <si>
    <r>
      <t xml:space="preserve">Hence Thickness of Base plate </t>
    </r>
    <r>
      <rPr>
        <b/>
        <sz val="12"/>
        <color theme="1"/>
        <rFont val="Calibri"/>
        <family val="2"/>
        <scheme val="minor"/>
      </rPr>
      <t>'t'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</si>
</sst>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theme="1"/>
      <name val="Symbol"/>
      <family val="1"/>
      <charset val="2"/>
    </font>
    <font>
      <i/>
      <vertAlign val="subscript"/>
      <sz val="12"/>
      <color theme="1"/>
      <name val="Cambria"/>
      <family val="1"/>
      <scheme val="maj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2"/>
      <color theme="1"/>
      <name val="Symbol"/>
      <family val="1"/>
      <charset val="2"/>
    </font>
    <font>
      <vertAlign val="subscript"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1" xfId="0" applyFont="1" applyBorder="1"/>
    <xf numFmtId="0" fontId="5" fillId="2" borderId="1" xfId="0" applyFont="1" applyFill="1" applyBorder="1"/>
    <xf numFmtId="0" fontId="9" fillId="0" borderId="1" xfId="0" applyFont="1" applyBorder="1"/>
    <xf numFmtId="0" fontId="5" fillId="3" borderId="1" xfId="0" applyFont="1" applyFill="1" applyBorder="1"/>
    <xf numFmtId="0" fontId="5" fillId="0" borderId="1" xfId="0" applyFont="1" applyFill="1" applyBorder="1"/>
    <xf numFmtId="0" fontId="5" fillId="0" borderId="2" xfId="0" applyFont="1" applyBorder="1"/>
    <xf numFmtId="0" fontId="5" fillId="2" borderId="2" xfId="0" applyFont="1" applyFill="1" applyBorder="1"/>
    <xf numFmtId="0" fontId="10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7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5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4.bin"/><Relationship Id="rId5" Type="http://schemas.openxmlformats.org/officeDocument/2006/relationships/oleObject" Target="../embeddings/oleObject3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oleObject" Target="../embeddings/oleObject7.bin"/><Relationship Id="rId7" Type="http://schemas.openxmlformats.org/officeDocument/2006/relationships/oleObject" Target="../embeddings/oleObject11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10.bin"/><Relationship Id="rId5" Type="http://schemas.openxmlformats.org/officeDocument/2006/relationships/oleObject" Target="../embeddings/oleObject9.bin"/><Relationship Id="rId4" Type="http://schemas.openxmlformats.org/officeDocument/2006/relationships/oleObject" Target="../embeddings/oleObject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9"/>
  <sheetViews>
    <sheetView tabSelected="1" workbookViewId="0">
      <selection activeCell="B23" sqref="B23"/>
    </sheetView>
  </sheetViews>
  <sheetFormatPr defaultRowHeight="15"/>
  <cols>
    <col min="1" max="1" width="47.7109375" customWidth="1"/>
    <col min="2" max="2" width="9.85546875" bestFit="1" customWidth="1"/>
    <col min="6" max="6" width="8.85546875" customWidth="1"/>
    <col min="7" max="7" width="9.140625" hidden="1" customWidth="1"/>
    <col min="22" max="23" width="9.28515625" bestFit="1" customWidth="1"/>
  </cols>
  <sheetData>
    <row r="1" spans="1:23" ht="18.75">
      <c r="A1" s="10" t="s">
        <v>47</v>
      </c>
      <c r="B1" s="10"/>
      <c r="C1" s="10"/>
      <c r="D1" s="10"/>
      <c r="E1" s="10"/>
      <c r="F1" s="10"/>
    </row>
    <row r="2" spans="1:23" ht="18">
      <c r="A2" s="8" t="s">
        <v>0</v>
      </c>
      <c r="B2" s="9">
        <v>350</v>
      </c>
      <c r="C2" s="8" t="s">
        <v>36</v>
      </c>
      <c r="V2" t="s">
        <v>22</v>
      </c>
      <c r="W2" t="s">
        <v>23</v>
      </c>
    </row>
    <row r="3" spans="1:23" ht="18">
      <c r="A3" s="3" t="s">
        <v>1</v>
      </c>
      <c r="B3" s="4">
        <v>20</v>
      </c>
      <c r="C3" s="3" t="s">
        <v>36</v>
      </c>
    </row>
    <row r="4" spans="1:23" ht="19.5">
      <c r="A4" s="3" t="s">
        <v>37</v>
      </c>
      <c r="B4" s="4">
        <v>1.2</v>
      </c>
      <c r="C4" s="3" t="s">
        <v>36</v>
      </c>
      <c r="D4" s="1" t="s">
        <v>35</v>
      </c>
    </row>
    <row r="5" spans="1:23" ht="18">
      <c r="A5" s="3" t="s">
        <v>4</v>
      </c>
      <c r="B5" s="4">
        <f>0.45*B3</f>
        <v>9</v>
      </c>
      <c r="C5" s="3" t="s">
        <v>36</v>
      </c>
      <c r="V5">
        <v>12</v>
      </c>
      <c r="W5">
        <v>84.3</v>
      </c>
    </row>
    <row r="6" spans="1:23" ht="17.25">
      <c r="A6" s="3" t="s">
        <v>38</v>
      </c>
      <c r="B6" s="4">
        <v>1.1000000000000001</v>
      </c>
      <c r="C6" s="3"/>
      <c r="V6">
        <v>16</v>
      </c>
      <c r="W6">
        <v>157</v>
      </c>
    </row>
    <row r="7" spans="1:23" ht="15.75">
      <c r="A7" s="3" t="s">
        <v>2</v>
      </c>
      <c r="B7" s="4">
        <v>600</v>
      </c>
      <c r="C7" s="3" t="s">
        <v>3</v>
      </c>
      <c r="V7">
        <v>20</v>
      </c>
      <c r="W7">
        <v>245</v>
      </c>
    </row>
    <row r="8" spans="1:23" ht="15.75">
      <c r="A8" s="5" t="s">
        <v>19</v>
      </c>
      <c r="B8" s="3"/>
      <c r="C8" s="3"/>
      <c r="V8">
        <v>22</v>
      </c>
      <c r="W8">
        <v>303</v>
      </c>
    </row>
    <row r="9" spans="1:23" ht="18">
      <c r="A9" s="3" t="s">
        <v>9</v>
      </c>
      <c r="B9" s="6">
        <f>ROUND(B7*1000/B5,0)</f>
        <v>66667</v>
      </c>
      <c r="C9" s="6" t="s">
        <v>39</v>
      </c>
      <c r="V9">
        <v>24</v>
      </c>
      <c r="W9">
        <v>353</v>
      </c>
    </row>
    <row r="10" spans="1:23" ht="15.75">
      <c r="A10" s="3" t="s">
        <v>5</v>
      </c>
      <c r="B10" s="4">
        <v>1200</v>
      </c>
      <c r="C10" s="3" t="s">
        <v>7</v>
      </c>
      <c r="V10">
        <v>27</v>
      </c>
      <c r="W10">
        <v>459</v>
      </c>
    </row>
    <row r="11" spans="1:23" ht="15.75">
      <c r="A11" s="3" t="s">
        <v>6</v>
      </c>
      <c r="B11" s="4">
        <v>1500</v>
      </c>
      <c r="C11" s="3" t="s">
        <v>7</v>
      </c>
      <c r="V11">
        <v>30</v>
      </c>
      <c r="W11">
        <v>561</v>
      </c>
    </row>
    <row r="12" spans="1:23" ht="18">
      <c r="A12" s="3" t="s">
        <v>8</v>
      </c>
      <c r="B12" s="3">
        <f>B10*B11</f>
        <v>1800000</v>
      </c>
      <c r="C12" s="3" t="s">
        <v>39</v>
      </c>
      <c r="D12" s="2" t="str">
        <f>IF(B12&gt;B9,"&gt; Ar, Hence OK","Increase Base Plate Size")</f>
        <v>&gt; Ar, Hence OK</v>
      </c>
      <c r="V12">
        <v>36</v>
      </c>
      <c r="W12">
        <v>817</v>
      </c>
    </row>
    <row r="13" spans="1:23" ht="18">
      <c r="A13" s="3" t="s">
        <v>16</v>
      </c>
      <c r="B13" s="3">
        <f>ROUND(B7*1000/B12,2)</f>
        <v>0.33</v>
      </c>
      <c r="C13" s="3" t="s">
        <v>36</v>
      </c>
      <c r="D13" s="1"/>
    </row>
    <row r="14" spans="1:23" ht="15.75">
      <c r="A14" s="3" t="s">
        <v>10</v>
      </c>
      <c r="B14" s="4">
        <v>900</v>
      </c>
      <c r="C14" s="3" t="s">
        <v>7</v>
      </c>
    </row>
    <row r="15" spans="1:23" ht="15.75">
      <c r="A15" s="3" t="s">
        <v>11</v>
      </c>
      <c r="B15" s="4">
        <v>1200</v>
      </c>
      <c r="C15" s="3" t="s">
        <v>7</v>
      </c>
    </row>
    <row r="16" spans="1:23" ht="15.75">
      <c r="A16" s="3" t="s">
        <v>12</v>
      </c>
      <c r="B16" s="4">
        <v>12</v>
      </c>
      <c r="C16" s="3" t="s">
        <v>7</v>
      </c>
    </row>
    <row r="17" spans="1:4" ht="15.75">
      <c r="A17" s="3" t="s">
        <v>13</v>
      </c>
      <c r="B17" s="3">
        <f>B10-B14-B16</f>
        <v>288</v>
      </c>
      <c r="C17" s="3" t="s">
        <v>7</v>
      </c>
    </row>
    <row r="18" spans="1:4" ht="15.75">
      <c r="A18" s="3" t="s">
        <v>14</v>
      </c>
      <c r="B18" s="3">
        <f>B11-B15-B16</f>
        <v>288</v>
      </c>
      <c r="C18" s="3" t="s">
        <v>7</v>
      </c>
    </row>
    <row r="19" spans="1:4" ht="15.75">
      <c r="A19" s="3" t="s">
        <v>15</v>
      </c>
      <c r="B19" s="3">
        <f>IF(B17&lt;=B18,B18,B17)</f>
        <v>288</v>
      </c>
      <c r="C19" s="3" t="s">
        <v>7</v>
      </c>
    </row>
    <row r="20" spans="1:4" ht="18">
      <c r="A20" s="3" t="s">
        <v>40</v>
      </c>
      <c r="B20" s="3">
        <f>B13*B19*B19/2</f>
        <v>13685.76</v>
      </c>
      <c r="C20" s="3" t="s">
        <v>17</v>
      </c>
    </row>
    <row r="21" spans="1:4" ht="15.75">
      <c r="A21" s="3" t="s">
        <v>41</v>
      </c>
      <c r="B21" s="6">
        <f>ROUND(SQRT(5*B6*B20/B2),2)</f>
        <v>14.66</v>
      </c>
      <c r="C21" s="6" t="s">
        <v>7</v>
      </c>
    </row>
    <row r="22" spans="1:4" ht="15.75">
      <c r="A22" s="3" t="s">
        <v>18</v>
      </c>
      <c r="B22" s="4">
        <v>16</v>
      </c>
      <c r="C22" s="3" t="s">
        <v>7</v>
      </c>
      <c r="D22" s="2" t="str">
        <f>IF(B22&gt;=B21,"&gt; thick. Reqd, Hence OK","Increase Base plate Size")</f>
        <v>&gt; thick. Reqd, Hence OK</v>
      </c>
    </row>
    <row r="23" spans="1:4" ht="15.75">
      <c r="A23" s="3"/>
      <c r="B23" s="3"/>
      <c r="C23" s="3"/>
    </row>
    <row r="24" spans="1:4" ht="15.75">
      <c r="A24" s="5" t="s">
        <v>20</v>
      </c>
      <c r="B24" s="3"/>
      <c r="C24" s="3"/>
    </row>
    <row r="25" spans="1:4" ht="19.5">
      <c r="A25" s="3" t="s">
        <v>42</v>
      </c>
      <c r="B25" s="4">
        <v>400</v>
      </c>
      <c r="C25" s="3" t="s">
        <v>36</v>
      </c>
    </row>
    <row r="26" spans="1:4" ht="17.25">
      <c r="A26" s="3" t="s">
        <v>43</v>
      </c>
      <c r="B26" s="4">
        <v>1.25</v>
      </c>
      <c r="C26" s="3"/>
    </row>
    <row r="27" spans="1:4" ht="15.75">
      <c r="A27" s="3" t="s">
        <v>21</v>
      </c>
      <c r="B27" s="4">
        <v>16</v>
      </c>
      <c r="C27" s="3" t="s">
        <v>7</v>
      </c>
    </row>
    <row r="28" spans="1:4" ht="18.75">
      <c r="A28" s="3" t="s">
        <v>44</v>
      </c>
      <c r="B28" s="3">
        <f>B27+2</f>
        <v>18</v>
      </c>
      <c r="C28" s="3" t="s">
        <v>7</v>
      </c>
    </row>
    <row r="29" spans="1:4" ht="18.75">
      <c r="A29" s="3" t="s">
        <v>45</v>
      </c>
      <c r="B29" s="3">
        <f>ROUNDUP(B28*1.5,0)</f>
        <v>27</v>
      </c>
      <c r="C29" s="3" t="s">
        <v>7</v>
      </c>
    </row>
    <row r="30" spans="1:4" ht="15.75">
      <c r="A30" s="3" t="s">
        <v>26</v>
      </c>
      <c r="B30" s="4">
        <v>50</v>
      </c>
      <c r="C30" s="3"/>
    </row>
    <row r="31" spans="1:4" ht="18.75">
      <c r="A31" s="3" t="s">
        <v>46</v>
      </c>
      <c r="B31" s="3">
        <f>MIN(B29/3/B28,(B30/B28)-0.25,1)</f>
        <v>0.5</v>
      </c>
      <c r="C31" s="3"/>
    </row>
    <row r="32" spans="1:4" ht="15.75" customHeight="1">
      <c r="A32" s="3" t="s">
        <v>24</v>
      </c>
      <c r="B32" s="3">
        <f>VLOOKUP(B27,V2:W12,2,)</f>
        <v>157</v>
      </c>
      <c r="C32" s="3" t="s">
        <v>39</v>
      </c>
    </row>
    <row r="33" spans="1:3" ht="15.75">
      <c r="A33" s="3" t="s">
        <v>25</v>
      </c>
      <c r="B33" s="3">
        <f>ROUND(B32*B25/SQRT(3)/B26/1000,2)</f>
        <v>29.01</v>
      </c>
      <c r="C33" s="3" t="s">
        <v>3</v>
      </c>
    </row>
    <row r="34" spans="1:3" ht="15.75">
      <c r="A34" s="3" t="s">
        <v>27</v>
      </c>
      <c r="B34" s="3">
        <f>2.5*B31*B27*B25/B26*B22/1000</f>
        <v>102.4</v>
      </c>
      <c r="C34" s="3" t="s">
        <v>3</v>
      </c>
    </row>
    <row r="35" spans="1:3" ht="15.75">
      <c r="A35" s="3" t="s">
        <v>28</v>
      </c>
      <c r="B35" s="3">
        <f>0.9*B25/B26*B32/1000</f>
        <v>45.216000000000001</v>
      </c>
      <c r="C35" s="3" t="s">
        <v>3</v>
      </c>
    </row>
    <row r="36" spans="1:3" ht="15.75">
      <c r="A36" s="3" t="s">
        <v>33</v>
      </c>
      <c r="B36" s="3">
        <f>MIN(B33,B34,B35)</f>
        <v>29.01</v>
      </c>
      <c r="C36" s="3" t="s">
        <v>3</v>
      </c>
    </row>
    <row r="37" spans="1:3" ht="15.75">
      <c r="A37" s="3" t="s">
        <v>29</v>
      </c>
      <c r="B37" s="4">
        <v>50</v>
      </c>
      <c r="C37" s="3" t="s">
        <v>30</v>
      </c>
    </row>
    <row r="38" spans="1:3" ht="15.75">
      <c r="A38" s="3" t="s">
        <v>32</v>
      </c>
      <c r="B38" s="6">
        <f>ROUND(B37/100*B7/B36,2)</f>
        <v>10.34</v>
      </c>
      <c r="C38" s="6" t="s">
        <v>31</v>
      </c>
    </row>
    <row r="39" spans="1:3" ht="15.75">
      <c r="A39" s="7" t="s">
        <v>34</v>
      </c>
      <c r="B39" s="6">
        <f>ROUNDUP(B27*B2/4/B4/B6,0)</f>
        <v>1061</v>
      </c>
      <c r="C39" s="6" t="s">
        <v>7</v>
      </c>
    </row>
  </sheetData>
  <mergeCells count="1">
    <mergeCell ref="A1:F1"/>
  </mergeCells>
  <dataValidations count="1">
    <dataValidation type="list" allowBlank="1" showInputMessage="1" showErrorMessage="1" sqref="B27">
      <formula1>select_dia</formula1>
    </dataValidation>
  </dataValidations>
  <pageMargins left="0.7" right="0.7" top="0.75" bottom="0.75" header="0.3" footer="0.3"/>
  <pageSetup paperSize="9" scale="84" orientation="portrait" r:id="rId1"/>
  <legacyDrawing r:id="rId2"/>
  <oleObjects>
    <oleObject progId="Equation.3" shapeId="1025" r:id="rId3"/>
    <oleObject progId="Equation.3" shapeId="1035" r:id="rId4"/>
    <oleObject progId="Equation.3" shapeId="1036" r:id="rId5"/>
    <oleObject progId="Equation.3" shapeId="1037" r:id="rId6"/>
    <oleObject progId="Equation.3" shapeId="1038" r:id="rId7"/>
    <oleObject progId="Equation.3" shapeId="1040" r:id="rId8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W32"/>
  <sheetViews>
    <sheetView workbookViewId="0">
      <selection activeCell="B21" sqref="B21"/>
    </sheetView>
  </sheetViews>
  <sheetFormatPr defaultRowHeight="15"/>
  <cols>
    <col min="1" max="1" width="47.7109375" customWidth="1"/>
    <col min="2" max="2" width="9.85546875" bestFit="1" customWidth="1"/>
    <col min="6" max="6" width="8.85546875" customWidth="1"/>
    <col min="7" max="7" width="9.140625" hidden="1" customWidth="1"/>
    <col min="22" max="23" width="9.28515625" bestFit="1" customWidth="1"/>
  </cols>
  <sheetData>
    <row r="1" spans="1:23" ht="18.75">
      <c r="A1" s="10" t="s">
        <v>48</v>
      </c>
      <c r="B1" s="10"/>
      <c r="C1" s="10"/>
      <c r="D1" s="10"/>
      <c r="E1" s="10"/>
      <c r="F1" s="10"/>
    </row>
    <row r="2" spans="1:23" ht="18">
      <c r="A2" s="8" t="s">
        <v>0</v>
      </c>
      <c r="B2" s="9">
        <v>350</v>
      </c>
      <c r="C2" s="8" t="s">
        <v>36</v>
      </c>
      <c r="V2" t="s">
        <v>22</v>
      </c>
      <c r="W2" t="s">
        <v>23</v>
      </c>
    </row>
    <row r="3" spans="1:23" ht="17.25">
      <c r="A3" s="3" t="s">
        <v>38</v>
      </c>
      <c r="B3" s="4">
        <v>1.1000000000000001</v>
      </c>
      <c r="C3" s="3"/>
      <c r="V3">
        <v>16</v>
      </c>
      <c r="W3">
        <v>157</v>
      </c>
    </row>
    <row r="4" spans="1:23" ht="15.75">
      <c r="A4" s="3" t="s">
        <v>2</v>
      </c>
      <c r="B4" s="4">
        <v>500</v>
      </c>
      <c r="C4" s="3" t="s">
        <v>3</v>
      </c>
      <c r="V4">
        <v>20</v>
      </c>
      <c r="W4">
        <v>245</v>
      </c>
    </row>
    <row r="5" spans="1:23" ht="15.75">
      <c r="A5" s="5" t="s">
        <v>19</v>
      </c>
      <c r="B5" s="3"/>
      <c r="C5" s="3"/>
      <c r="V5">
        <v>22</v>
      </c>
      <c r="W5">
        <v>303</v>
      </c>
    </row>
    <row r="6" spans="1:23" ht="15.75">
      <c r="A6" s="3" t="s">
        <v>5</v>
      </c>
      <c r="B6" s="4">
        <v>1375</v>
      </c>
      <c r="C6" s="3" t="s">
        <v>7</v>
      </c>
      <c r="V6">
        <v>27</v>
      </c>
      <c r="W6">
        <v>459</v>
      </c>
    </row>
    <row r="7" spans="1:23" ht="15.75">
      <c r="A7" s="3" t="s">
        <v>6</v>
      </c>
      <c r="B7" s="4">
        <v>1675</v>
      </c>
      <c r="C7" s="3" t="s">
        <v>7</v>
      </c>
      <c r="V7">
        <v>30</v>
      </c>
      <c r="W7">
        <v>561</v>
      </c>
    </row>
    <row r="8" spans="1:23" ht="18">
      <c r="A8" s="3" t="s">
        <v>8</v>
      </c>
      <c r="B8" s="3">
        <f>B6*B7</f>
        <v>2303125</v>
      </c>
      <c r="C8" s="3" t="s">
        <v>39</v>
      </c>
      <c r="D8" s="2"/>
      <c r="V8">
        <v>36</v>
      </c>
      <c r="W8">
        <v>817</v>
      </c>
    </row>
    <row r="9" spans="1:23" ht="15.75">
      <c r="A9" s="3" t="s">
        <v>10</v>
      </c>
      <c r="B9" s="4">
        <v>900</v>
      </c>
      <c r="C9" s="3" t="s">
        <v>7</v>
      </c>
      <c r="V9">
        <v>12</v>
      </c>
      <c r="W9">
        <v>84.3</v>
      </c>
    </row>
    <row r="10" spans="1:23" ht="15.75">
      <c r="A10" s="3" t="s">
        <v>11</v>
      </c>
      <c r="B10" s="4">
        <v>1200</v>
      </c>
      <c r="C10" s="3" t="s">
        <v>7</v>
      </c>
    </row>
    <row r="11" spans="1:23" ht="15.75">
      <c r="A11" s="3" t="s">
        <v>12</v>
      </c>
      <c r="B11" s="4">
        <v>12</v>
      </c>
      <c r="C11" s="3" t="s">
        <v>7</v>
      </c>
    </row>
    <row r="12" spans="1:23" ht="15.75">
      <c r="A12" s="3" t="s">
        <v>13</v>
      </c>
      <c r="B12" s="3">
        <f>B6-B9-B11</f>
        <v>463</v>
      </c>
      <c r="C12" s="3" t="s">
        <v>7</v>
      </c>
    </row>
    <row r="13" spans="1:23" ht="15.75">
      <c r="A13" s="3" t="s">
        <v>14</v>
      </c>
      <c r="B13" s="3">
        <f>B7-B10-B11</f>
        <v>463</v>
      </c>
      <c r="C13" s="3" t="s">
        <v>7</v>
      </c>
    </row>
    <row r="14" spans="1:23" ht="18">
      <c r="A14" s="3" t="s">
        <v>49</v>
      </c>
      <c r="B14" s="3">
        <f>B4*1000/B6/B7</f>
        <v>0.21709633649932156</v>
      </c>
      <c r="C14" s="8" t="s">
        <v>36</v>
      </c>
    </row>
    <row r="15" spans="1:23" ht="15.75">
      <c r="A15" s="3" t="s">
        <v>50</v>
      </c>
      <c r="B15" s="6">
        <f>ROUND(SQRT(2.5*B14*B3/B2*(B12*B12-0.3*B13*B13)),2)</f>
        <v>16</v>
      </c>
      <c r="C15" s="6" t="s">
        <v>7</v>
      </c>
    </row>
    <row r="16" spans="1:23" ht="15.75">
      <c r="A16" s="3" t="s">
        <v>18</v>
      </c>
      <c r="B16" s="4">
        <v>24</v>
      </c>
      <c r="C16" s="3" t="s">
        <v>7</v>
      </c>
      <c r="D16" s="2" t="str">
        <f>IF(B16&gt;=B15,"&gt; thick. Reqd, Hence OK","Increase Base plate Size")</f>
        <v>&gt; thick. Reqd, Hence OK</v>
      </c>
    </row>
    <row r="17" spans="1:3" ht="15.75">
      <c r="A17" s="3"/>
      <c r="B17" s="3"/>
      <c r="C17" s="3"/>
    </row>
    <row r="18" spans="1:3" ht="15.75">
      <c r="A18" s="5" t="s">
        <v>20</v>
      </c>
      <c r="B18" s="3"/>
      <c r="C18" s="3"/>
    </row>
    <row r="19" spans="1:3" ht="19.5">
      <c r="A19" s="3" t="s">
        <v>42</v>
      </c>
      <c r="B19" s="4">
        <v>400</v>
      </c>
      <c r="C19" s="3" t="s">
        <v>36</v>
      </c>
    </row>
    <row r="20" spans="1:3" ht="17.25">
      <c r="A20" s="3" t="s">
        <v>43</v>
      </c>
      <c r="B20" s="4">
        <v>1.25</v>
      </c>
      <c r="C20" s="3"/>
    </row>
    <row r="21" spans="1:3" ht="15.75">
      <c r="A21" s="3" t="s">
        <v>21</v>
      </c>
      <c r="B21" s="4">
        <v>12</v>
      </c>
      <c r="C21" s="3" t="s">
        <v>7</v>
      </c>
    </row>
    <row r="22" spans="1:3" ht="18.75">
      <c r="A22" s="3" t="s">
        <v>44</v>
      </c>
      <c r="B22" s="3">
        <f>B21+2</f>
        <v>14</v>
      </c>
      <c r="C22" s="3" t="s">
        <v>7</v>
      </c>
    </row>
    <row r="23" spans="1:3" ht="18.75">
      <c r="A23" s="3" t="s">
        <v>45</v>
      </c>
      <c r="B23" s="3">
        <f>ROUNDUP(B22*1.5,0)</f>
        <v>21</v>
      </c>
      <c r="C23" s="3" t="s">
        <v>7</v>
      </c>
    </row>
    <row r="24" spans="1:3" ht="15.75">
      <c r="A24" s="3" t="s">
        <v>26</v>
      </c>
      <c r="B24" s="4">
        <v>60</v>
      </c>
      <c r="C24" s="3"/>
    </row>
    <row r="25" spans="1:3" ht="18.75">
      <c r="A25" s="3" t="s">
        <v>46</v>
      </c>
      <c r="B25" s="3">
        <f>MIN(B23/3/B22,(B24/B22)-0.25,1)</f>
        <v>0.5</v>
      </c>
      <c r="C25" s="3"/>
    </row>
    <row r="26" spans="1:3" ht="15.75" customHeight="1">
      <c r="A26" s="3" t="s">
        <v>24</v>
      </c>
      <c r="B26" s="3">
        <f>VLOOKUP(B21,V2:W9,2,)</f>
        <v>84.3</v>
      </c>
      <c r="C26" s="3" t="s">
        <v>39</v>
      </c>
    </row>
    <row r="27" spans="1:3" ht="15.75">
      <c r="A27" s="3" t="s">
        <v>25</v>
      </c>
      <c r="B27" s="3">
        <f>ROUND(B26*B19/SQRT(3)/B20/1000,2)</f>
        <v>15.57</v>
      </c>
      <c r="C27" s="3" t="s">
        <v>3</v>
      </c>
    </row>
    <row r="28" spans="1:3" ht="15.75">
      <c r="A28" s="3" t="s">
        <v>27</v>
      </c>
      <c r="B28" s="3">
        <f>2.5*B25*B21*B19/B20*B16/1000</f>
        <v>115.2</v>
      </c>
      <c r="C28" s="3" t="s">
        <v>3</v>
      </c>
    </row>
    <row r="29" spans="1:3" ht="15.75">
      <c r="A29" s="3" t="s">
        <v>28</v>
      </c>
      <c r="B29" s="3">
        <f>0.9*B19/B20*B26/1000</f>
        <v>24.278399999999998</v>
      </c>
      <c r="C29" s="3" t="s">
        <v>3</v>
      </c>
    </row>
    <row r="30" spans="1:3" ht="15.75">
      <c r="A30" s="3" t="s">
        <v>33</v>
      </c>
      <c r="B30" s="3">
        <f>MIN(B27,B28,B29)</f>
        <v>15.57</v>
      </c>
      <c r="C30" s="3" t="s">
        <v>3</v>
      </c>
    </row>
    <row r="31" spans="1:3" ht="15.75">
      <c r="A31" s="3" t="s">
        <v>29</v>
      </c>
      <c r="B31" s="4">
        <v>50</v>
      </c>
      <c r="C31" s="3" t="s">
        <v>30</v>
      </c>
    </row>
    <row r="32" spans="1:3" ht="15.75">
      <c r="A32" s="3" t="s">
        <v>32</v>
      </c>
      <c r="B32" s="6">
        <f>ROUND(B31/100*B4/B30,2)</f>
        <v>16.059999999999999</v>
      </c>
      <c r="C32" s="6" t="s">
        <v>31</v>
      </c>
    </row>
  </sheetData>
  <mergeCells count="1">
    <mergeCell ref="A1:F1"/>
  </mergeCells>
  <dataValidations count="1">
    <dataValidation type="list" allowBlank="1" showInputMessage="1" showErrorMessage="1" sqref="B21">
      <formula1>$V$2:$V$9</formula1>
    </dataValidation>
  </dataValidations>
  <pageMargins left="0.7" right="0.7" top="0.75" bottom="0.75" header="0.3" footer="0.3"/>
  <pageSetup paperSize="9" scale="84" orientation="portrait" r:id="rId1"/>
  <legacyDrawing r:id="rId2"/>
  <oleObjects>
    <oleObject progId="Equation.3" shapeId="2049" r:id="rId3"/>
    <oleObject progId="Equation.3" shapeId="2050" r:id="rId4"/>
    <oleObject progId="Equation.3" shapeId="2051" r:id="rId5"/>
    <oleObject progId="Equation.3" shapeId="2052" r:id="rId6"/>
    <oleObject progId="Equation.3" shapeId="2053" r:id="rId7"/>
    <oleObject progId="Equation.3" shapeId="2054" r:id="rId8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base plate</vt:lpstr>
      <vt:lpstr>column cap</vt:lpstr>
      <vt:lpstr>Sheet2</vt:lpstr>
      <vt:lpstr>Sheet3</vt:lpstr>
      <vt:lpstr>'base plate'!Print_Area</vt:lpstr>
      <vt:lpstr>'column cap'!Print_Area</vt:lpstr>
      <vt:lpstr>'column cap'!select_dia</vt:lpstr>
      <vt:lpstr>select_dia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</dc:creator>
  <cp:lastModifiedBy>asd</cp:lastModifiedBy>
  <dcterms:created xsi:type="dcterms:W3CDTF">2015-09-27T06:09:01Z</dcterms:created>
  <dcterms:modified xsi:type="dcterms:W3CDTF">2015-10-09T06:57:56Z</dcterms:modified>
</cp:coreProperties>
</file>