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120" yWindow="120" windowWidth="28695" windowHeight="12525" activeTab="1"/>
  </bookViews>
  <sheets>
    <sheet name="FOOTING 165" sheetId="10" r:id="rId1"/>
    <sheet name="FOOTING 165 (2)" sheetId="12" r:id="rId2"/>
  </sheets>
  <definedNames>
    <definedName name="Biaxial" localSheetId="0">#REF!</definedName>
    <definedName name="Biaxial" localSheetId="1">#REF!</definedName>
    <definedName name="Biaxial">#REF!</definedName>
    <definedName name="_xlnm.Print_Area" localSheetId="0">'FOOTING 165'!$A$1:$I$107</definedName>
    <definedName name="_xlnm.Print_Area" localSheetId="1">'FOOTING 165 (2)'!$A$1:$I$107</definedName>
    <definedName name="Uniaxial" localSheetId="0">#REF!</definedName>
    <definedName name="Uniaxial" localSheetId="1">#REF!</definedName>
    <definedName name="Uniaxial">#REF!</definedName>
  </definedNames>
  <calcPr calcId="124519"/>
</workbook>
</file>

<file path=xl/calcChain.xml><?xml version="1.0" encoding="utf-8"?>
<calcChain xmlns="http://schemas.openxmlformats.org/spreadsheetml/2006/main">
  <c r="C98" i="12"/>
  <c r="C96"/>
  <c r="D96" s="1"/>
  <c r="A71"/>
  <c r="F66"/>
  <c r="A63"/>
  <c r="F59"/>
  <c r="F67" s="1"/>
  <c r="F55"/>
  <c r="D49"/>
  <c r="F43"/>
  <c r="E43"/>
  <c r="D43"/>
  <c r="D33"/>
  <c r="L32"/>
  <c r="G32"/>
  <c r="D32"/>
  <c r="D31"/>
  <c r="L31" s="1"/>
  <c r="D29"/>
  <c r="D28"/>
  <c r="G101" s="1"/>
  <c r="D25"/>
  <c r="F24"/>
  <c r="E15"/>
  <c r="F15" s="1"/>
  <c r="D15"/>
  <c r="E14"/>
  <c r="D14"/>
  <c r="C98" i="10"/>
  <c r="C96"/>
  <c r="D96" s="1"/>
  <c r="A71"/>
  <c r="F66"/>
  <c r="A63"/>
  <c r="F59"/>
  <c r="F55"/>
  <c r="D49"/>
  <c r="F43"/>
  <c r="E43"/>
  <c r="D43"/>
  <c r="D33"/>
  <c r="L32"/>
  <c r="G32"/>
  <c r="D32"/>
  <c r="L31"/>
  <c r="D31"/>
  <c r="D29"/>
  <c r="D28"/>
  <c r="G101" s="1"/>
  <c r="D25"/>
  <c r="F24"/>
  <c r="E15"/>
  <c r="F15" s="1"/>
  <c r="D15"/>
  <c r="D16" s="1"/>
  <c r="E14"/>
  <c r="F14" s="1"/>
  <c r="D14"/>
  <c r="E16" i="12" l="1"/>
  <c r="F14"/>
  <c r="F16" s="1"/>
  <c r="D16"/>
  <c r="L33"/>
  <c r="D30" s="1"/>
  <c r="F75"/>
  <c r="D79" s="1"/>
  <c r="C81" s="1"/>
  <c r="C97"/>
  <c r="C99" s="1"/>
  <c r="E101"/>
  <c r="F100"/>
  <c r="F85"/>
  <c r="F76"/>
  <c r="F84"/>
  <c r="D88" s="1"/>
  <c r="B90" s="1"/>
  <c r="L33" i="10"/>
  <c r="D30" s="1"/>
  <c r="D37" s="1"/>
  <c r="E16"/>
  <c r="F16"/>
  <c r="F67"/>
  <c r="F75"/>
  <c r="D79" s="1"/>
  <c r="C81" s="1"/>
  <c r="C97"/>
  <c r="C99" s="1"/>
  <c r="E101"/>
  <c r="F100"/>
  <c r="F85"/>
  <c r="F76"/>
  <c r="F84"/>
  <c r="D88" s="1"/>
  <c r="B90" s="1"/>
  <c r="D37" i="12" l="1"/>
  <c r="D39" s="1"/>
  <c r="E37"/>
  <c r="E39" s="1"/>
  <c r="F37"/>
  <c r="F39" s="1"/>
  <c r="F103"/>
  <c r="F104" s="1"/>
  <c r="A103"/>
  <c r="F38"/>
  <c r="F77"/>
  <c r="A87"/>
  <c r="F86"/>
  <c r="A78"/>
  <c r="E37" i="10"/>
  <c r="E38" s="1"/>
  <c r="F37"/>
  <c r="F86"/>
  <c r="A78"/>
  <c r="F103"/>
  <c r="F104" s="1"/>
  <c r="A103"/>
  <c r="F77"/>
  <c r="A87"/>
  <c r="D38"/>
  <c r="D39"/>
  <c r="E38" i="12" l="1"/>
  <c r="E40" s="1"/>
  <c r="D38"/>
  <c r="D40" s="1"/>
  <c r="E41"/>
  <c r="F40"/>
  <c r="F42"/>
  <c r="F41"/>
  <c r="D41"/>
  <c r="F39" i="10"/>
  <c r="F38"/>
  <c r="E39"/>
  <c r="E41" s="1"/>
  <c r="D42"/>
  <c r="D44" s="1"/>
  <c r="D41"/>
  <c r="D40"/>
  <c r="E42" i="12" l="1"/>
  <c r="E44" s="1"/>
  <c r="D42"/>
  <c r="D44" s="1"/>
  <c r="F49"/>
  <c r="F44"/>
  <c r="F40" i="10"/>
  <c r="F41"/>
  <c r="F42"/>
  <c r="E40"/>
  <c r="E42" s="1"/>
  <c r="E44"/>
  <c r="E49"/>
  <c r="E49" i="12" l="1"/>
  <c r="F50" s="1"/>
  <c r="A102" s="1"/>
  <c r="F49" i="10"/>
  <c r="F50" s="1"/>
  <c r="F44"/>
  <c r="E54" i="12" l="1"/>
  <c r="B60" s="1"/>
  <c r="C61" s="1"/>
  <c r="E65"/>
  <c r="G65" s="1"/>
  <c r="F102"/>
  <c r="C105" s="1"/>
  <c r="A106" s="1"/>
  <c r="F87"/>
  <c r="E89" s="1"/>
  <c r="A91" s="1"/>
  <c r="F78"/>
  <c r="E80" s="1"/>
  <c r="A82" s="1"/>
  <c r="E56"/>
  <c r="E54" i="10"/>
  <c r="A102"/>
  <c r="F102"/>
  <c r="C105" s="1"/>
  <c r="A106" s="1"/>
  <c r="F87"/>
  <c r="E89" s="1"/>
  <c r="A91" s="1"/>
  <c r="E65"/>
  <c r="F78"/>
  <c r="E80" s="1"/>
  <c r="A82" s="1"/>
  <c r="B68" i="12" l="1"/>
  <c r="C69" s="1"/>
  <c r="B68" i="10"/>
  <c r="C69" s="1"/>
  <c r="G65"/>
  <c r="B60"/>
  <c r="C61" s="1"/>
  <c r="E56"/>
</calcChain>
</file>

<file path=xl/sharedStrings.xml><?xml version="1.0" encoding="utf-8"?>
<sst xmlns="http://schemas.openxmlformats.org/spreadsheetml/2006/main" count="352" uniqueCount="108">
  <si>
    <t>DESIGN OF BI-AXIAL ISOLATED RCC FOOTING (IS 456, 2000)</t>
  </si>
  <si>
    <r>
      <t xml:space="preserve">        Grade of concrete f</t>
    </r>
    <r>
      <rPr>
        <vertAlign val="subscript"/>
        <sz val="10"/>
        <rFont val="Arial"/>
        <family val="2"/>
      </rPr>
      <t>ck</t>
    </r>
    <r>
      <rPr>
        <sz val="10"/>
        <rFont val="Arial"/>
        <family val="2"/>
      </rPr>
      <t xml:space="preserve"> =</t>
    </r>
  </si>
  <si>
    <r>
      <t>N/mm</t>
    </r>
    <r>
      <rPr>
        <vertAlign val="superscript"/>
        <sz val="10"/>
        <rFont val="Arial"/>
        <family val="2"/>
      </rPr>
      <t>2</t>
    </r>
  </si>
  <si>
    <r>
      <t xml:space="preserve">        Grade of steel </t>
    </r>
    <r>
      <rPr>
        <sz val="10"/>
        <rFont val="Arial"/>
        <family val="2"/>
      </rPr>
      <t>f</t>
    </r>
    <r>
      <rPr>
        <vertAlign val="subscript"/>
        <sz val="10"/>
        <rFont val="Arial"/>
        <family val="2"/>
      </rPr>
      <t>y</t>
    </r>
    <r>
      <rPr>
        <sz val="10"/>
        <rFont val="Arial"/>
        <family val="2"/>
      </rPr>
      <t xml:space="preserve">       =</t>
    </r>
  </si>
  <si>
    <r>
      <t>KN/m</t>
    </r>
    <r>
      <rPr>
        <vertAlign val="superscript"/>
        <sz val="10"/>
        <rFont val="Arial"/>
        <family val="2"/>
      </rPr>
      <t>2</t>
    </r>
  </si>
  <si>
    <t xml:space="preserve">COLUMN </t>
  </si>
  <si>
    <t>Length (l, dim. || Z axis ) =</t>
  </si>
  <si>
    <t>mm</t>
  </si>
  <si>
    <t>Breadth (b, dim. || X axis) =</t>
  </si>
  <si>
    <t>LOADS (WORKING)</t>
  </si>
  <si>
    <t>(DL+LL)</t>
  </si>
  <si>
    <t>(DL+EQ)</t>
  </si>
  <si>
    <t>KN</t>
  </si>
  <si>
    <r>
      <t>Moment about Z axis (M</t>
    </r>
    <r>
      <rPr>
        <vertAlign val="subscript"/>
        <sz val="10"/>
        <rFont val="Arial"/>
        <family val="2"/>
      </rPr>
      <t>z</t>
    </r>
    <r>
      <rPr>
        <sz val="10"/>
        <rFont val="Arial"/>
        <family val="2"/>
      </rPr>
      <t>) =</t>
    </r>
  </si>
  <si>
    <t>KN-m</t>
  </si>
  <si>
    <r>
      <t>Moment about X axis (M</t>
    </r>
    <r>
      <rPr>
        <vertAlign val="subscript"/>
        <sz val="10"/>
        <rFont val="Arial"/>
        <family val="2"/>
      </rPr>
      <t>x</t>
    </r>
    <r>
      <rPr>
        <sz val="10"/>
        <rFont val="Arial"/>
        <family val="2"/>
      </rPr>
      <t>) =</t>
    </r>
  </si>
  <si>
    <t>FOOTING</t>
  </si>
  <si>
    <t>Foot length (L, dim. || Z axis) =</t>
  </si>
  <si>
    <t>m</t>
  </si>
  <si>
    <t>Foot Breadth (B, dim. || X axis) =</t>
  </si>
  <si>
    <t>Thickness of footing (D) =</t>
  </si>
  <si>
    <t>Thickness of footing at edge(t) =</t>
  </si>
  <si>
    <t>l</t>
  </si>
  <si>
    <t>sloping depth</t>
  </si>
  <si>
    <t>Clear cover of footing =</t>
  </si>
  <si>
    <t>Main bar dia of footing =</t>
  </si>
  <si>
    <t>Effective depth of footing (d)=</t>
  </si>
  <si>
    <t>b</t>
  </si>
  <si>
    <t>Effective thickness at edge(ti) =</t>
  </si>
  <si>
    <t>Selfweight of the footing  =</t>
  </si>
  <si>
    <t>Area of Footing(A) =</t>
  </si>
  <si>
    <r>
      <t>m</t>
    </r>
    <r>
      <rPr>
        <b/>
        <vertAlign val="superscript"/>
        <sz val="10"/>
        <rFont val="Arial"/>
        <family val="2"/>
      </rPr>
      <t>2</t>
    </r>
  </si>
  <si>
    <t>A1</t>
  </si>
  <si>
    <t>Sect mod of foot about Z axis (Zz) =</t>
  </si>
  <si>
    <r>
      <t>m</t>
    </r>
    <r>
      <rPr>
        <b/>
        <vertAlign val="superscript"/>
        <sz val="10"/>
        <rFont val="Arial"/>
        <family val="2"/>
      </rPr>
      <t>3</t>
    </r>
  </si>
  <si>
    <t>A2</t>
  </si>
  <si>
    <t>Sec mod of foot about X axis (Zx) =</t>
  </si>
  <si>
    <t>VOL</t>
  </si>
  <si>
    <t>CHECK FOR BEARING PRESSURE</t>
  </si>
  <si>
    <t>P = (P1+foot self wt) =</t>
  </si>
  <si>
    <t xml:space="preserve">Maximum bearing pressure = </t>
  </si>
  <si>
    <t>Minimum bearing pressure =</t>
  </si>
  <si>
    <t xml:space="preserve">Max. base pressure pl =Px2/(xl*B)= </t>
  </si>
  <si>
    <t xml:space="preserve">Max. base pressure pb=Px2/(xl*B)= </t>
  </si>
  <si>
    <t xml:space="preserve">Max.total  base pressure p max   = </t>
  </si>
  <si>
    <t>Safe net bearing pressure  =</t>
  </si>
  <si>
    <t>Hence footing is</t>
  </si>
  <si>
    <t>DESIGN FORCES</t>
  </si>
  <si>
    <t>Load Factor   =</t>
  </si>
  <si>
    <r>
      <t>Factored upward soil pressure p</t>
    </r>
    <r>
      <rPr>
        <vertAlign val="subscript"/>
        <sz val="10"/>
        <rFont val="Arial"/>
        <family val="2"/>
      </rPr>
      <t>e  =</t>
    </r>
  </si>
  <si>
    <r>
      <t>Max. Factored effective soil pressure p</t>
    </r>
    <r>
      <rPr>
        <vertAlign val="subscript"/>
        <sz val="10"/>
        <rFont val="Arial"/>
        <family val="2"/>
      </rPr>
      <t>e max</t>
    </r>
    <r>
      <rPr>
        <sz val="10"/>
        <rFont val="Arial"/>
        <family val="2"/>
      </rPr>
      <t xml:space="preserve">      =</t>
    </r>
  </si>
  <si>
    <t>Design of footing is done using above maximum effective upward soil pressure</t>
  </si>
  <si>
    <t>CALCULATION FOR BOTTOM STEEL</t>
  </si>
  <si>
    <r>
      <t>Mu about X  X  = ( pe max  x  length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/2)=</t>
    </r>
  </si>
  <si>
    <t xml:space="preserve">KN-m </t>
  </si>
  <si>
    <t>Mulimit =</t>
  </si>
  <si>
    <t>EFFECTIVE DEPTH</t>
  </si>
  <si>
    <t>Hence, Ast =</t>
  </si>
  <si>
    <r>
      <t>mm</t>
    </r>
    <r>
      <rPr>
        <vertAlign val="superscript"/>
        <sz val="10"/>
        <rFont val="Arial"/>
        <family val="2"/>
      </rPr>
      <t>2</t>
    </r>
  </si>
  <si>
    <t>Spacing required =</t>
  </si>
  <si>
    <t>mm (considering max of above two calculated values of Ast)</t>
  </si>
  <si>
    <t>Spacing provided =</t>
  </si>
  <si>
    <r>
      <t>Mu about Z Z = ( pe max  x  length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/2)=</t>
    </r>
  </si>
  <si>
    <t>KN-m per meter</t>
  </si>
  <si>
    <t>Calc. Ast =</t>
  </si>
  <si>
    <t>CHECK FOR ONE WAY SHEAR :</t>
  </si>
  <si>
    <t xml:space="preserve">One way shear at effective depth from col face ║to x-x. </t>
  </si>
  <si>
    <t>Effective depth at critical section(dc) = d-{(d-t)/0.5(L-l)}d</t>
  </si>
  <si>
    <t>Distance of critical sec. from edge of footing (L1) =(L/2-l/2)-d =</t>
  </si>
  <si>
    <t>Width of footing at this section at the top of footing =B-2*B1 =</t>
  </si>
  <si>
    <t xml:space="preserve"> width of footing</t>
  </si>
  <si>
    <t>footing =</t>
  </si>
  <si>
    <t>Percentage at critical section =</t>
  </si>
  <si>
    <t>%</t>
  </si>
  <si>
    <t>Shear stress</t>
  </si>
  <si>
    <r>
      <t>t</t>
    </r>
    <r>
      <rPr>
        <vertAlign val="subscript"/>
        <sz val="10"/>
        <rFont val="Arial"/>
        <family val="2"/>
      </rPr>
      <t xml:space="preserve">v </t>
    </r>
    <r>
      <rPr>
        <sz val="10"/>
        <rFont val="Arial"/>
        <family val="2"/>
      </rPr>
      <t>= Vs/resisting area =</t>
    </r>
  </si>
  <si>
    <r>
      <t>t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=</t>
    </r>
  </si>
  <si>
    <t xml:space="preserve">One way shear at effective depth from col face ║to z-z. </t>
  </si>
  <si>
    <t>Effective depth at critical section(dc) = d-{(d-t)/0.5(B-b)}d</t>
  </si>
  <si>
    <t>Distance of critical sec. from edge of footing (B1)=(B/2-b/2)-d =</t>
  </si>
  <si>
    <t>Width of footing at this section at the top of footing =L-2*L1 =</t>
  </si>
  <si>
    <r>
      <t>t</t>
    </r>
    <r>
      <rPr>
        <vertAlign val="subscript"/>
        <sz val="10"/>
        <rFont val="Arial"/>
        <family val="2"/>
      </rPr>
      <t xml:space="preserve">v </t>
    </r>
    <r>
      <rPr>
        <sz val="10"/>
        <rFont val="Arial"/>
        <family val="2"/>
      </rPr>
      <t>= Vs/resting area=</t>
    </r>
  </si>
  <si>
    <t>CHECK FOR TWO WAY SHEAR</t>
  </si>
  <si>
    <t xml:space="preserve">Two way shear at d/2 from col face  </t>
  </si>
  <si>
    <r>
      <t>Allowable shear stress</t>
    </r>
    <r>
      <rPr>
        <sz val="10"/>
        <rFont val="GreekC"/>
      </rPr>
      <t xml:space="preserve"> t</t>
    </r>
    <r>
      <rPr>
        <vertAlign val="subscript"/>
        <sz val="10"/>
        <rFont val="Arial"/>
        <family val="2"/>
      </rPr>
      <t>v allowable</t>
    </r>
    <r>
      <rPr>
        <sz val="10"/>
        <rFont val="Arial"/>
        <family val="2"/>
      </rPr>
      <t xml:space="preserve"> = </t>
    </r>
  </si>
  <si>
    <r>
      <t>k</t>
    </r>
    <r>
      <rPr>
        <vertAlign val="subscript"/>
        <sz val="10"/>
        <rFont val="Arial"/>
        <family val="2"/>
      </rPr>
      <t>s</t>
    </r>
    <r>
      <rPr>
        <sz val="10"/>
        <rFont val="GreekC"/>
      </rPr>
      <t>t</t>
    </r>
    <r>
      <rPr>
        <vertAlign val="subscript"/>
        <sz val="10"/>
        <rFont val="Arial"/>
        <family val="2"/>
      </rPr>
      <t>c</t>
    </r>
  </si>
  <si>
    <r>
      <t>k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 xml:space="preserve"> = ( 0.5 + bc) =</t>
    </r>
  </si>
  <si>
    <r>
      <t>Hence, k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=</t>
    </r>
  </si>
  <si>
    <r>
      <t>t</t>
    </r>
    <r>
      <rPr>
        <vertAlign val="subscript"/>
        <sz val="10"/>
        <rFont val="Arial"/>
        <family val="2"/>
      </rPr>
      <t xml:space="preserve">c </t>
    </r>
    <r>
      <rPr>
        <sz val="10"/>
        <rFont val="Arial"/>
        <family val="2"/>
      </rPr>
      <t>= 0.25 (fck)</t>
    </r>
    <r>
      <rPr>
        <vertAlign val="superscript"/>
        <sz val="10"/>
        <rFont val="Arial"/>
        <family val="2"/>
      </rPr>
      <t>0.5</t>
    </r>
    <r>
      <rPr>
        <sz val="10"/>
        <rFont val="Arial"/>
        <family val="2"/>
      </rPr>
      <t xml:space="preserve"> =</t>
    </r>
  </si>
  <si>
    <r>
      <t>t</t>
    </r>
    <r>
      <rPr>
        <vertAlign val="subscript"/>
        <sz val="10"/>
        <rFont val="Arial"/>
        <family val="2"/>
      </rPr>
      <t xml:space="preserve">v allowable </t>
    </r>
    <r>
      <rPr>
        <sz val="10"/>
        <rFont val="Arial"/>
        <family val="2"/>
      </rPr>
      <t>= k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 xml:space="preserve"> x </t>
    </r>
    <r>
      <rPr>
        <sz val="10"/>
        <rFont val="Symbol"/>
        <family val="1"/>
        <charset val="2"/>
      </rPr>
      <t>t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=</t>
    </r>
  </si>
  <si>
    <t>Effective depth at critical section(dc) = d-{(d-t)/0.5(L-b)}0.5d</t>
  </si>
  <si>
    <t xml:space="preserve">Width at critical sections =(l+d),(b+d)= </t>
  </si>
  <si>
    <t>Area of the critical section (length of critical sec x eff. d ) =</t>
  </si>
  <si>
    <r>
      <t xml:space="preserve">Hence shear stress </t>
    </r>
    <r>
      <rPr>
        <sz val="10"/>
        <rFont val="Symbol"/>
        <family val="1"/>
        <charset val="2"/>
      </rPr>
      <t>t</t>
    </r>
    <r>
      <rPr>
        <vertAlign val="subscript"/>
        <sz val="10"/>
        <rFont val="Arial"/>
        <family val="2"/>
      </rPr>
      <t xml:space="preserve">v </t>
    </r>
    <r>
      <rPr>
        <sz val="10"/>
        <rFont val="Arial"/>
        <family val="2"/>
      </rPr>
      <t>=</t>
    </r>
  </si>
  <si>
    <t>Height of Pedestal</t>
  </si>
  <si>
    <t>(DL)</t>
  </si>
  <si>
    <t>(DL+WQ)</t>
  </si>
  <si>
    <t>Self Weight Of pedestal</t>
  </si>
  <si>
    <t>=</t>
  </si>
  <si>
    <t xml:space="preserve">GROSS SBC of soil        = </t>
  </si>
  <si>
    <t>Soil Density</t>
  </si>
  <si>
    <t>Weight of Earthfill on Foundation</t>
  </si>
  <si>
    <t xml:space="preserve">Axial load from output  = </t>
  </si>
  <si>
    <t xml:space="preserve">For WIND load increasing SBC by             </t>
  </si>
  <si>
    <t>TOTALAXIAL LOAD (P1)</t>
  </si>
  <si>
    <t>NAME</t>
  </si>
  <si>
    <t>COLUMN FOOTINGS</t>
  </si>
  <si>
    <t>HOARDING 165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</si>
</sst>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14"/>
      <name val="Arial"/>
      <family val="2"/>
    </font>
    <font>
      <sz val="10"/>
      <name val="GreekC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GreekC"/>
    </font>
    <font>
      <sz val="1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/>
    <xf numFmtId="0" fontId="1" fillId="0" borderId="0" xfId="1"/>
    <xf numFmtId="0" fontId="1" fillId="2" borderId="1" xfId="1" applyFont="1" applyFill="1" applyBorder="1"/>
    <xf numFmtId="0" fontId="1" fillId="0" borderId="0" xfId="1" applyFont="1"/>
    <xf numFmtId="0" fontId="2" fillId="2" borderId="1" xfId="1" applyFont="1" applyFill="1" applyBorder="1"/>
    <xf numFmtId="0" fontId="1" fillId="0" borderId="0" xfId="1" applyFont="1" applyFill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top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indent="3"/>
    </xf>
    <xf numFmtId="2" fontId="1" fillId="0" borderId="0" xfId="1" applyNumberFormat="1" applyFont="1"/>
    <xf numFmtId="2" fontId="1" fillId="0" borderId="0" xfId="1" applyNumberFormat="1"/>
    <xf numFmtId="2" fontId="1" fillId="0" borderId="0" xfId="1" applyNumberFormat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2" fontId="1" fillId="0" borderId="0" xfId="1" applyNumberFormat="1" applyFont="1" applyAlignment="1">
      <alignment horizontal="center"/>
    </xf>
    <xf numFmtId="2" fontId="2" fillId="3" borderId="0" xfId="1" applyNumberFormat="1" applyFont="1" applyFill="1" applyAlignment="1">
      <alignment horizontal="center" vertical="center"/>
    </xf>
    <xf numFmtId="9" fontId="1" fillId="0" borderId="0" xfId="1" applyNumberFormat="1" applyAlignment="1">
      <alignment horizontal="left"/>
    </xf>
    <xf numFmtId="0" fontId="2" fillId="0" borderId="0" xfId="1" applyFont="1" applyAlignment="1">
      <alignment horizontal="right"/>
    </xf>
    <xf numFmtId="0" fontId="6" fillId="0" borderId="0" xfId="1" applyFont="1"/>
    <xf numFmtId="2" fontId="2" fillId="0" borderId="0" xfId="1" applyNumberFormat="1" applyFont="1" applyFill="1" applyBorder="1" applyAlignment="1">
      <alignment horizontal="center" vertical="center"/>
    </xf>
    <xf numFmtId="0" fontId="7" fillId="0" borderId="0" xfId="1" applyFont="1" applyBorder="1"/>
    <xf numFmtId="0" fontId="1" fillId="0" borderId="0" xfId="1" applyBorder="1"/>
    <xf numFmtId="2" fontId="2" fillId="0" borderId="0" xfId="1" applyNumberFormat="1" applyFont="1" applyBorder="1"/>
    <xf numFmtId="0" fontId="1" fillId="0" borderId="0" xfId="1" applyFont="1" applyBorder="1"/>
    <xf numFmtId="0" fontId="9" fillId="0" borderId="0" xfId="1" applyFont="1" applyBorder="1"/>
    <xf numFmtId="0" fontId="1" fillId="0" borderId="0" xfId="1" applyAlignment="1">
      <alignment horizontal="right"/>
    </xf>
    <xf numFmtId="0" fontId="1" fillId="3" borderId="0" xfId="1" applyFill="1"/>
    <xf numFmtId="0" fontId="2" fillId="3" borderId="0" xfId="1" applyFont="1" applyFill="1" applyBorder="1"/>
    <xf numFmtId="0" fontId="1" fillId="3" borderId="0" xfId="1" applyFill="1" applyBorder="1"/>
    <xf numFmtId="0" fontId="2" fillId="0" borderId="0" xfId="1" applyFont="1" applyBorder="1"/>
    <xf numFmtId="164" fontId="2" fillId="0" borderId="0" xfId="1" applyNumberFormat="1" applyFont="1" applyBorder="1"/>
    <xf numFmtId="0" fontId="1" fillId="0" borderId="0" xfId="1" applyBorder="1" applyAlignment="1">
      <alignment horizontal="left"/>
    </xf>
    <xf numFmtId="1" fontId="2" fillId="0" borderId="0" xfId="1" applyNumberFormat="1" applyFont="1" applyBorder="1"/>
    <xf numFmtId="0" fontId="1" fillId="0" borderId="0" xfId="1" applyBorder="1" applyAlignment="1">
      <alignment horizontal="center"/>
    </xf>
    <xf numFmtId="0" fontId="1" fillId="0" borderId="0" xfId="1" applyFill="1" applyBorder="1"/>
    <xf numFmtId="2" fontId="1" fillId="0" borderId="0" xfId="1" applyNumberFormat="1" applyBorder="1"/>
    <xf numFmtId="0" fontId="1" fillId="0" borderId="0" xfId="1" applyBorder="1" applyAlignment="1">
      <alignment horizontal="right"/>
    </xf>
    <xf numFmtId="0" fontId="2" fillId="0" borderId="0" xfId="1" applyFont="1" applyFill="1" applyBorder="1"/>
    <xf numFmtId="165" fontId="2" fillId="0" borderId="0" xfId="1" applyNumberFormat="1" applyFont="1" applyBorder="1"/>
    <xf numFmtId="0" fontId="2" fillId="2" borderId="0" xfId="1" applyFont="1" applyFill="1"/>
    <xf numFmtId="0" fontId="1" fillId="2" borderId="0" xfId="1" applyFill="1"/>
    <xf numFmtId="164" fontId="1" fillId="0" borderId="0" xfId="1" applyNumberFormat="1"/>
    <xf numFmtId="2" fontId="2" fillId="0" borderId="0" xfId="1" applyNumberFormat="1" applyFont="1"/>
    <xf numFmtId="165" fontId="2" fillId="0" borderId="0" xfId="1" applyNumberFormat="1" applyFont="1"/>
    <xf numFmtId="0" fontId="10" fillId="0" borderId="0" xfId="1" applyFont="1" applyAlignment="1">
      <alignment horizontal="left"/>
    </xf>
    <xf numFmtId="2" fontId="2" fillId="0" borderId="0" xfId="1" applyNumberFormat="1" applyFont="1" applyAlignment="1">
      <alignment horizontal="right" vertical="center"/>
    </xf>
    <xf numFmtId="0" fontId="10" fillId="0" borderId="0" xfId="1" applyFont="1"/>
    <xf numFmtId="0" fontId="11" fillId="3" borderId="0" xfId="1" applyFont="1" applyFill="1" applyAlignment="1">
      <alignment horizontal="left"/>
    </xf>
    <xf numFmtId="0" fontId="12" fillId="3" borderId="0" xfId="1" applyFont="1" applyFill="1"/>
    <xf numFmtId="0" fontId="13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/>
    <xf numFmtId="0" fontId="1" fillId="4" borderId="1" xfId="1" applyFont="1" applyFill="1" applyBorder="1"/>
  </cellXfs>
  <cellStyles count="2">
    <cellStyle name="Normal" xfId="0" builtinId="0"/>
    <cellStyle name="Normal_FOOTING(2).excelF" xfId="1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37</xdr:row>
      <xdr:rowOff>0</xdr:rowOff>
    </xdr:from>
    <xdr:to>
      <xdr:col>7</xdr:col>
      <xdr:colOff>123825</xdr:colOff>
      <xdr:row>39</xdr:row>
      <xdr:rowOff>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5276850" y="6257925"/>
          <a:ext cx="76200" cy="400050"/>
        </a:xfrm>
        <a:prstGeom prst="rightBrace">
          <a:avLst>
            <a:gd name="adj1" fmla="val 43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228600</xdr:colOff>
      <xdr:row>27</xdr:row>
      <xdr:rowOff>66675</xdr:rowOff>
    </xdr:from>
    <xdr:to>
      <xdr:col>6</xdr:col>
      <xdr:colOff>695325</xdr:colOff>
      <xdr:row>28</xdr:row>
      <xdr:rowOff>95250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4543425" y="4629150"/>
          <a:ext cx="4667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419100</xdr:colOff>
      <xdr:row>23</xdr:row>
      <xdr:rowOff>28575</xdr:rowOff>
    </xdr:from>
    <xdr:to>
      <xdr:col>6</xdr:col>
      <xdr:colOff>419100</xdr:colOff>
      <xdr:row>23</xdr:row>
      <xdr:rowOff>142875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4733925" y="394335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266700</xdr:colOff>
      <xdr:row>29</xdr:row>
      <xdr:rowOff>85725</xdr:rowOff>
    </xdr:from>
    <xdr:to>
      <xdr:col>6</xdr:col>
      <xdr:colOff>742950</xdr:colOff>
      <xdr:row>29</xdr:row>
      <xdr:rowOff>95250</xdr:rowOff>
    </xdr:to>
    <xdr:cxnSp macro="">
      <xdr:nvCxnSpPr>
        <xdr:cNvPr id="5" name="AutoShape 6"/>
        <xdr:cNvCxnSpPr>
          <a:cxnSpLocks noChangeShapeType="1"/>
        </xdr:cNvCxnSpPr>
      </xdr:nvCxnSpPr>
      <xdr:spPr bwMode="auto">
        <a:xfrm flipV="1">
          <a:off x="4581525" y="4991100"/>
          <a:ext cx="476250" cy="9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57150</xdr:colOff>
      <xdr:row>28</xdr:row>
      <xdr:rowOff>0</xdr:rowOff>
    </xdr:from>
    <xdr:to>
      <xdr:col>7</xdr:col>
      <xdr:colOff>219075</xdr:colOff>
      <xdr:row>28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5286375" y="47244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657225</xdr:colOff>
      <xdr:row>21</xdr:row>
      <xdr:rowOff>85725</xdr:rowOff>
    </xdr:from>
    <xdr:to>
      <xdr:col>7</xdr:col>
      <xdr:colOff>628650</xdr:colOff>
      <xdr:row>35</xdr:row>
      <xdr:rowOff>0</xdr:rowOff>
    </xdr:to>
    <xdr:grpSp>
      <xdr:nvGrpSpPr>
        <xdr:cNvPr id="7" name="Group 8"/>
        <xdr:cNvGrpSpPr>
          <a:grpSpLocks/>
        </xdr:cNvGrpSpPr>
      </xdr:nvGrpSpPr>
      <xdr:grpSpPr bwMode="auto">
        <a:xfrm>
          <a:off x="3352800" y="3676650"/>
          <a:ext cx="2505075" cy="2257425"/>
          <a:chOff x="364" y="101"/>
          <a:chExt cx="232" cy="219"/>
        </a:xfrm>
      </xdr:grpSpPr>
      <xdr:sp macro="" textlink="">
        <xdr:nvSpPr>
          <xdr:cNvPr id="8" name="Text Box 9"/>
          <xdr:cNvSpPr txBox="1">
            <a:spLocks noChangeArrowheads="1"/>
          </xdr:cNvSpPr>
        </xdr:nvSpPr>
        <xdr:spPr bwMode="auto">
          <a:xfrm>
            <a:off x="547" y="173"/>
            <a:ext cx="49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global</a:t>
            </a:r>
          </a:p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Z</a:t>
            </a:r>
          </a:p>
        </xdr:txBody>
      </xdr:sp>
      <xdr:sp macro="" textlink="">
        <xdr:nvSpPr>
          <xdr:cNvPr id="9" name="Rectangle 10"/>
          <xdr:cNvSpPr>
            <a:spLocks noChangeArrowheads="1"/>
          </xdr:cNvSpPr>
        </xdr:nvSpPr>
        <xdr:spPr bwMode="auto">
          <a:xfrm>
            <a:off x="450" y="172"/>
            <a:ext cx="95" cy="6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" name="Line 11"/>
          <xdr:cNvSpPr>
            <a:spLocks noChangeShapeType="1"/>
          </xdr:cNvSpPr>
        </xdr:nvSpPr>
        <xdr:spPr bwMode="auto">
          <a:xfrm>
            <a:off x="407" y="171"/>
            <a:ext cx="0" cy="6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11" name="Line 12"/>
          <xdr:cNvSpPr>
            <a:spLocks noChangeShapeType="1"/>
          </xdr:cNvSpPr>
        </xdr:nvSpPr>
        <xdr:spPr bwMode="auto">
          <a:xfrm>
            <a:off x="496" y="141"/>
            <a:ext cx="0" cy="113"/>
          </a:xfrm>
          <a:prstGeom prst="line">
            <a:avLst/>
          </a:prstGeom>
          <a:noFill/>
          <a:ln w="9525">
            <a:solidFill>
              <a:srgbClr val="FF6600"/>
            </a:solidFill>
            <a:prstDash val="lgDashDot"/>
            <a:round/>
            <a:headEnd/>
            <a:tailEnd/>
          </a:ln>
        </xdr:spPr>
      </xdr:sp>
      <xdr:sp macro="" textlink="">
        <xdr:nvSpPr>
          <xdr:cNvPr id="12" name="Line 13"/>
          <xdr:cNvSpPr>
            <a:spLocks noChangeShapeType="1"/>
          </xdr:cNvSpPr>
        </xdr:nvSpPr>
        <xdr:spPr bwMode="auto">
          <a:xfrm flipV="1">
            <a:off x="422" y="203"/>
            <a:ext cx="144" cy="0"/>
          </a:xfrm>
          <a:prstGeom prst="line">
            <a:avLst/>
          </a:prstGeom>
          <a:noFill/>
          <a:ln w="9525">
            <a:solidFill>
              <a:srgbClr val="FF6600"/>
            </a:solidFill>
            <a:prstDash val="lgDashDot"/>
            <a:round/>
            <a:headEnd/>
            <a:tailEnd/>
          </a:ln>
        </xdr:spPr>
      </xdr:sp>
      <xdr:sp macro="" textlink="">
        <xdr:nvSpPr>
          <xdr:cNvPr id="13" name="Line 14"/>
          <xdr:cNvSpPr>
            <a:spLocks noChangeShapeType="1"/>
          </xdr:cNvSpPr>
        </xdr:nvSpPr>
        <xdr:spPr bwMode="auto">
          <a:xfrm>
            <a:off x="448" y="273"/>
            <a:ext cx="9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14" name="Text Box 15"/>
          <xdr:cNvSpPr txBox="1">
            <a:spLocks noChangeArrowheads="1"/>
          </xdr:cNvSpPr>
        </xdr:nvSpPr>
        <xdr:spPr bwMode="auto">
          <a:xfrm>
            <a:off x="473" y="101"/>
            <a:ext cx="47" cy="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global</a:t>
            </a:r>
          </a:p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  <xdr:sp macro="" textlink="">
        <xdr:nvSpPr>
          <xdr:cNvPr id="15" name="Line 16"/>
          <xdr:cNvSpPr>
            <a:spLocks noChangeShapeType="1"/>
          </xdr:cNvSpPr>
        </xdr:nvSpPr>
        <xdr:spPr bwMode="auto">
          <a:xfrm>
            <a:off x="450" y="247"/>
            <a:ext cx="0" cy="4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" name="Line 17"/>
          <xdr:cNvSpPr>
            <a:spLocks noChangeShapeType="1"/>
          </xdr:cNvSpPr>
        </xdr:nvSpPr>
        <xdr:spPr bwMode="auto">
          <a:xfrm>
            <a:off x="545" y="245"/>
            <a:ext cx="0" cy="4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" name="Line 18"/>
          <xdr:cNvSpPr>
            <a:spLocks noChangeShapeType="1"/>
          </xdr:cNvSpPr>
        </xdr:nvSpPr>
        <xdr:spPr bwMode="auto">
          <a:xfrm>
            <a:off x="364" y="152"/>
            <a:ext cx="4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Line 19"/>
          <xdr:cNvSpPr>
            <a:spLocks noChangeShapeType="1"/>
          </xdr:cNvSpPr>
        </xdr:nvSpPr>
        <xdr:spPr bwMode="auto">
          <a:xfrm>
            <a:off x="407" y="153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" name="Line 20"/>
          <xdr:cNvSpPr>
            <a:spLocks noChangeShapeType="1"/>
          </xdr:cNvSpPr>
        </xdr:nvSpPr>
        <xdr:spPr bwMode="auto">
          <a:xfrm>
            <a:off x="394" y="172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" name="Line 21"/>
          <xdr:cNvSpPr>
            <a:spLocks noChangeShapeType="1"/>
          </xdr:cNvSpPr>
        </xdr:nvSpPr>
        <xdr:spPr bwMode="auto">
          <a:xfrm>
            <a:off x="393" y="232"/>
            <a:ext cx="3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" name="Text Box 22"/>
          <xdr:cNvSpPr txBox="1">
            <a:spLocks noChangeArrowheads="1"/>
          </xdr:cNvSpPr>
        </xdr:nvSpPr>
        <xdr:spPr bwMode="auto">
          <a:xfrm>
            <a:off x="474" y="230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global</a:t>
            </a:r>
          </a:p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  <xdr:sp macro="" textlink="">
        <xdr:nvSpPr>
          <xdr:cNvPr id="22" name="Text Box 23"/>
          <xdr:cNvSpPr txBox="1">
            <a:spLocks noChangeArrowheads="1"/>
          </xdr:cNvSpPr>
        </xdr:nvSpPr>
        <xdr:spPr bwMode="auto">
          <a:xfrm>
            <a:off x="401" y="180"/>
            <a:ext cx="5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Text Box 24"/>
          <xdr:cNvSpPr txBox="1">
            <a:spLocks noChangeArrowheads="1"/>
          </xdr:cNvSpPr>
        </xdr:nvSpPr>
        <xdr:spPr bwMode="auto">
          <a:xfrm>
            <a:off x="441" y="298"/>
            <a:ext cx="142" cy="2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Footing Dimensions</a:t>
            </a:r>
          </a:p>
        </xdr:txBody>
      </xdr:sp>
    </xdr:grpSp>
    <xdr:clientData/>
  </xdr:twoCellAnchor>
  <xdr:twoCellAnchor>
    <xdr:from>
      <xdr:col>7</xdr:col>
      <xdr:colOff>95250</xdr:colOff>
      <xdr:row>28</xdr:row>
      <xdr:rowOff>76200</xdr:rowOff>
    </xdr:from>
    <xdr:to>
      <xdr:col>7</xdr:col>
      <xdr:colOff>95250</xdr:colOff>
      <xdr:row>28</xdr:row>
      <xdr:rowOff>76200</xdr:rowOff>
    </xdr:to>
    <xdr:cxnSp macro="">
      <xdr:nvCxnSpPr>
        <xdr:cNvPr id="24" name="AutoShape 25"/>
        <xdr:cNvCxnSpPr>
          <a:cxnSpLocks noChangeShapeType="1"/>
          <a:stCxn id="9" idx="3"/>
          <a:endCxn id="9" idx="3"/>
        </xdr:cNvCxnSpPr>
      </xdr:nvCxnSpPr>
      <xdr:spPr bwMode="auto">
        <a:xfrm>
          <a:off x="5324475" y="480060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95250</xdr:colOff>
      <xdr:row>28</xdr:row>
      <xdr:rowOff>76200</xdr:rowOff>
    </xdr:from>
    <xdr:to>
      <xdr:col>7</xdr:col>
      <xdr:colOff>95250</xdr:colOff>
      <xdr:row>28</xdr:row>
      <xdr:rowOff>76200</xdr:rowOff>
    </xdr:to>
    <xdr:cxnSp macro="">
      <xdr:nvCxnSpPr>
        <xdr:cNvPr id="25" name="AutoShape 26"/>
        <xdr:cNvCxnSpPr>
          <a:cxnSpLocks noChangeShapeType="1"/>
          <a:stCxn id="9" idx="3"/>
          <a:endCxn id="9" idx="3"/>
        </xdr:cNvCxnSpPr>
      </xdr:nvCxnSpPr>
      <xdr:spPr bwMode="auto">
        <a:xfrm>
          <a:off x="5324475" y="480060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95250</xdr:colOff>
      <xdr:row>28</xdr:row>
      <xdr:rowOff>76200</xdr:rowOff>
    </xdr:from>
    <xdr:to>
      <xdr:col>7</xdr:col>
      <xdr:colOff>95250</xdr:colOff>
      <xdr:row>28</xdr:row>
      <xdr:rowOff>76200</xdr:rowOff>
    </xdr:to>
    <xdr:cxnSp macro="">
      <xdr:nvCxnSpPr>
        <xdr:cNvPr id="26" name="AutoShape 27"/>
        <xdr:cNvCxnSpPr>
          <a:cxnSpLocks noChangeShapeType="1"/>
          <a:stCxn id="9" idx="3"/>
          <a:endCxn id="9" idx="3"/>
        </xdr:cNvCxnSpPr>
      </xdr:nvCxnSpPr>
      <xdr:spPr bwMode="auto">
        <a:xfrm>
          <a:off x="5324475" y="480060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819150</xdr:colOff>
      <xdr:row>28</xdr:row>
      <xdr:rowOff>9525</xdr:rowOff>
    </xdr:from>
    <xdr:to>
      <xdr:col>6</xdr:col>
      <xdr:colOff>819150</xdr:colOff>
      <xdr:row>29</xdr:row>
      <xdr:rowOff>9525</xdr:rowOff>
    </xdr:to>
    <xdr:sp macro="" textlink="">
      <xdr:nvSpPr>
        <xdr:cNvPr id="27" name="Line 28"/>
        <xdr:cNvSpPr>
          <a:spLocks noChangeShapeType="1"/>
        </xdr:cNvSpPr>
      </xdr:nvSpPr>
      <xdr:spPr bwMode="auto">
        <a:xfrm>
          <a:off x="5133975" y="47339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37</xdr:row>
      <xdr:rowOff>0</xdr:rowOff>
    </xdr:from>
    <xdr:to>
      <xdr:col>7</xdr:col>
      <xdr:colOff>123825</xdr:colOff>
      <xdr:row>39</xdr:row>
      <xdr:rowOff>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5276850" y="6257925"/>
          <a:ext cx="76200" cy="400050"/>
        </a:xfrm>
        <a:prstGeom prst="rightBrace">
          <a:avLst>
            <a:gd name="adj1" fmla="val 43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228600</xdr:colOff>
      <xdr:row>27</xdr:row>
      <xdr:rowOff>66675</xdr:rowOff>
    </xdr:from>
    <xdr:to>
      <xdr:col>6</xdr:col>
      <xdr:colOff>695325</xdr:colOff>
      <xdr:row>28</xdr:row>
      <xdr:rowOff>95250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4543425" y="4629150"/>
          <a:ext cx="4667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419100</xdr:colOff>
      <xdr:row>23</xdr:row>
      <xdr:rowOff>28575</xdr:rowOff>
    </xdr:from>
    <xdr:to>
      <xdr:col>6</xdr:col>
      <xdr:colOff>419100</xdr:colOff>
      <xdr:row>23</xdr:row>
      <xdr:rowOff>142875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4733925" y="394335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266700</xdr:colOff>
      <xdr:row>29</xdr:row>
      <xdr:rowOff>85725</xdr:rowOff>
    </xdr:from>
    <xdr:to>
      <xdr:col>6</xdr:col>
      <xdr:colOff>742950</xdr:colOff>
      <xdr:row>29</xdr:row>
      <xdr:rowOff>95250</xdr:rowOff>
    </xdr:to>
    <xdr:cxnSp macro="">
      <xdr:nvCxnSpPr>
        <xdr:cNvPr id="5" name="AutoShape 6"/>
        <xdr:cNvCxnSpPr>
          <a:cxnSpLocks noChangeShapeType="1"/>
        </xdr:cNvCxnSpPr>
      </xdr:nvCxnSpPr>
      <xdr:spPr bwMode="auto">
        <a:xfrm flipV="1">
          <a:off x="4581525" y="4991100"/>
          <a:ext cx="476250" cy="9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57150</xdr:colOff>
      <xdr:row>28</xdr:row>
      <xdr:rowOff>0</xdr:rowOff>
    </xdr:from>
    <xdr:to>
      <xdr:col>7</xdr:col>
      <xdr:colOff>219075</xdr:colOff>
      <xdr:row>28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5286375" y="47244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657225</xdr:colOff>
      <xdr:row>21</xdr:row>
      <xdr:rowOff>85725</xdr:rowOff>
    </xdr:from>
    <xdr:to>
      <xdr:col>7</xdr:col>
      <xdr:colOff>628650</xdr:colOff>
      <xdr:row>35</xdr:row>
      <xdr:rowOff>0</xdr:rowOff>
    </xdr:to>
    <xdr:grpSp>
      <xdr:nvGrpSpPr>
        <xdr:cNvPr id="7" name="Group 8"/>
        <xdr:cNvGrpSpPr>
          <a:grpSpLocks/>
        </xdr:cNvGrpSpPr>
      </xdr:nvGrpSpPr>
      <xdr:grpSpPr bwMode="auto">
        <a:xfrm>
          <a:off x="3352800" y="3676650"/>
          <a:ext cx="2505075" cy="2257425"/>
          <a:chOff x="364" y="101"/>
          <a:chExt cx="232" cy="219"/>
        </a:xfrm>
      </xdr:grpSpPr>
      <xdr:sp macro="" textlink="">
        <xdr:nvSpPr>
          <xdr:cNvPr id="8" name="Text Box 9"/>
          <xdr:cNvSpPr txBox="1">
            <a:spLocks noChangeArrowheads="1"/>
          </xdr:cNvSpPr>
        </xdr:nvSpPr>
        <xdr:spPr bwMode="auto">
          <a:xfrm>
            <a:off x="547" y="173"/>
            <a:ext cx="49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global</a:t>
            </a:r>
          </a:p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Z</a:t>
            </a:r>
          </a:p>
        </xdr:txBody>
      </xdr:sp>
      <xdr:sp macro="" textlink="">
        <xdr:nvSpPr>
          <xdr:cNvPr id="9" name="Rectangle 10"/>
          <xdr:cNvSpPr>
            <a:spLocks noChangeArrowheads="1"/>
          </xdr:cNvSpPr>
        </xdr:nvSpPr>
        <xdr:spPr bwMode="auto">
          <a:xfrm>
            <a:off x="450" y="172"/>
            <a:ext cx="95" cy="6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" name="Line 11"/>
          <xdr:cNvSpPr>
            <a:spLocks noChangeShapeType="1"/>
          </xdr:cNvSpPr>
        </xdr:nvSpPr>
        <xdr:spPr bwMode="auto">
          <a:xfrm>
            <a:off x="407" y="171"/>
            <a:ext cx="0" cy="6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11" name="Line 12"/>
          <xdr:cNvSpPr>
            <a:spLocks noChangeShapeType="1"/>
          </xdr:cNvSpPr>
        </xdr:nvSpPr>
        <xdr:spPr bwMode="auto">
          <a:xfrm>
            <a:off x="496" y="141"/>
            <a:ext cx="0" cy="113"/>
          </a:xfrm>
          <a:prstGeom prst="line">
            <a:avLst/>
          </a:prstGeom>
          <a:noFill/>
          <a:ln w="9525">
            <a:solidFill>
              <a:srgbClr val="FF6600"/>
            </a:solidFill>
            <a:prstDash val="lgDashDot"/>
            <a:round/>
            <a:headEnd/>
            <a:tailEnd/>
          </a:ln>
        </xdr:spPr>
      </xdr:sp>
      <xdr:sp macro="" textlink="">
        <xdr:nvSpPr>
          <xdr:cNvPr id="12" name="Line 13"/>
          <xdr:cNvSpPr>
            <a:spLocks noChangeShapeType="1"/>
          </xdr:cNvSpPr>
        </xdr:nvSpPr>
        <xdr:spPr bwMode="auto">
          <a:xfrm flipV="1">
            <a:off x="422" y="203"/>
            <a:ext cx="144" cy="0"/>
          </a:xfrm>
          <a:prstGeom prst="line">
            <a:avLst/>
          </a:prstGeom>
          <a:noFill/>
          <a:ln w="9525">
            <a:solidFill>
              <a:srgbClr val="FF6600"/>
            </a:solidFill>
            <a:prstDash val="lgDashDot"/>
            <a:round/>
            <a:headEnd/>
            <a:tailEnd/>
          </a:ln>
        </xdr:spPr>
      </xdr:sp>
      <xdr:sp macro="" textlink="">
        <xdr:nvSpPr>
          <xdr:cNvPr id="13" name="Line 14"/>
          <xdr:cNvSpPr>
            <a:spLocks noChangeShapeType="1"/>
          </xdr:cNvSpPr>
        </xdr:nvSpPr>
        <xdr:spPr bwMode="auto">
          <a:xfrm>
            <a:off x="448" y="273"/>
            <a:ext cx="9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14" name="Text Box 15"/>
          <xdr:cNvSpPr txBox="1">
            <a:spLocks noChangeArrowheads="1"/>
          </xdr:cNvSpPr>
        </xdr:nvSpPr>
        <xdr:spPr bwMode="auto">
          <a:xfrm>
            <a:off x="473" y="101"/>
            <a:ext cx="47" cy="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global</a:t>
            </a:r>
          </a:p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  <xdr:sp macro="" textlink="">
        <xdr:nvSpPr>
          <xdr:cNvPr id="15" name="Line 16"/>
          <xdr:cNvSpPr>
            <a:spLocks noChangeShapeType="1"/>
          </xdr:cNvSpPr>
        </xdr:nvSpPr>
        <xdr:spPr bwMode="auto">
          <a:xfrm>
            <a:off x="450" y="247"/>
            <a:ext cx="0" cy="4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" name="Line 17"/>
          <xdr:cNvSpPr>
            <a:spLocks noChangeShapeType="1"/>
          </xdr:cNvSpPr>
        </xdr:nvSpPr>
        <xdr:spPr bwMode="auto">
          <a:xfrm>
            <a:off x="545" y="245"/>
            <a:ext cx="0" cy="4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" name="Line 18"/>
          <xdr:cNvSpPr>
            <a:spLocks noChangeShapeType="1"/>
          </xdr:cNvSpPr>
        </xdr:nvSpPr>
        <xdr:spPr bwMode="auto">
          <a:xfrm>
            <a:off x="364" y="152"/>
            <a:ext cx="4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Line 19"/>
          <xdr:cNvSpPr>
            <a:spLocks noChangeShapeType="1"/>
          </xdr:cNvSpPr>
        </xdr:nvSpPr>
        <xdr:spPr bwMode="auto">
          <a:xfrm>
            <a:off x="407" y="153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" name="Line 20"/>
          <xdr:cNvSpPr>
            <a:spLocks noChangeShapeType="1"/>
          </xdr:cNvSpPr>
        </xdr:nvSpPr>
        <xdr:spPr bwMode="auto">
          <a:xfrm>
            <a:off x="394" y="172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" name="Line 21"/>
          <xdr:cNvSpPr>
            <a:spLocks noChangeShapeType="1"/>
          </xdr:cNvSpPr>
        </xdr:nvSpPr>
        <xdr:spPr bwMode="auto">
          <a:xfrm>
            <a:off x="393" y="232"/>
            <a:ext cx="3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" name="Text Box 22"/>
          <xdr:cNvSpPr txBox="1">
            <a:spLocks noChangeArrowheads="1"/>
          </xdr:cNvSpPr>
        </xdr:nvSpPr>
        <xdr:spPr bwMode="auto">
          <a:xfrm>
            <a:off x="474" y="230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global</a:t>
            </a:r>
          </a:p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  <xdr:sp macro="" textlink="">
        <xdr:nvSpPr>
          <xdr:cNvPr id="22" name="Text Box 23"/>
          <xdr:cNvSpPr txBox="1">
            <a:spLocks noChangeArrowheads="1"/>
          </xdr:cNvSpPr>
        </xdr:nvSpPr>
        <xdr:spPr bwMode="auto">
          <a:xfrm>
            <a:off x="401" y="180"/>
            <a:ext cx="5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Text Box 24"/>
          <xdr:cNvSpPr txBox="1">
            <a:spLocks noChangeArrowheads="1"/>
          </xdr:cNvSpPr>
        </xdr:nvSpPr>
        <xdr:spPr bwMode="auto">
          <a:xfrm>
            <a:off x="441" y="298"/>
            <a:ext cx="142" cy="2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Footing Dimensions</a:t>
            </a:r>
          </a:p>
        </xdr:txBody>
      </xdr:sp>
    </xdr:grpSp>
    <xdr:clientData/>
  </xdr:twoCellAnchor>
  <xdr:twoCellAnchor>
    <xdr:from>
      <xdr:col>7</xdr:col>
      <xdr:colOff>95250</xdr:colOff>
      <xdr:row>28</xdr:row>
      <xdr:rowOff>76200</xdr:rowOff>
    </xdr:from>
    <xdr:to>
      <xdr:col>7</xdr:col>
      <xdr:colOff>95250</xdr:colOff>
      <xdr:row>28</xdr:row>
      <xdr:rowOff>76200</xdr:rowOff>
    </xdr:to>
    <xdr:cxnSp macro="">
      <xdr:nvCxnSpPr>
        <xdr:cNvPr id="24" name="AutoShape 25"/>
        <xdr:cNvCxnSpPr>
          <a:cxnSpLocks noChangeShapeType="1"/>
          <a:stCxn id="9" idx="3"/>
          <a:endCxn id="9" idx="3"/>
        </xdr:cNvCxnSpPr>
      </xdr:nvCxnSpPr>
      <xdr:spPr bwMode="auto">
        <a:xfrm>
          <a:off x="5324475" y="480060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95250</xdr:colOff>
      <xdr:row>28</xdr:row>
      <xdr:rowOff>76200</xdr:rowOff>
    </xdr:from>
    <xdr:to>
      <xdr:col>7</xdr:col>
      <xdr:colOff>95250</xdr:colOff>
      <xdr:row>28</xdr:row>
      <xdr:rowOff>76200</xdr:rowOff>
    </xdr:to>
    <xdr:cxnSp macro="">
      <xdr:nvCxnSpPr>
        <xdr:cNvPr id="25" name="AutoShape 26"/>
        <xdr:cNvCxnSpPr>
          <a:cxnSpLocks noChangeShapeType="1"/>
          <a:stCxn id="9" idx="3"/>
          <a:endCxn id="9" idx="3"/>
        </xdr:cNvCxnSpPr>
      </xdr:nvCxnSpPr>
      <xdr:spPr bwMode="auto">
        <a:xfrm>
          <a:off x="5324475" y="480060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7</xdr:col>
      <xdr:colOff>95250</xdr:colOff>
      <xdr:row>28</xdr:row>
      <xdr:rowOff>76200</xdr:rowOff>
    </xdr:from>
    <xdr:to>
      <xdr:col>7</xdr:col>
      <xdr:colOff>95250</xdr:colOff>
      <xdr:row>28</xdr:row>
      <xdr:rowOff>76200</xdr:rowOff>
    </xdr:to>
    <xdr:cxnSp macro="">
      <xdr:nvCxnSpPr>
        <xdr:cNvPr id="26" name="AutoShape 27"/>
        <xdr:cNvCxnSpPr>
          <a:cxnSpLocks noChangeShapeType="1"/>
          <a:stCxn id="9" idx="3"/>
          <a:endCxn id="9" idx="3"/>
        </xdr:cNvCxnSpPr>
      </xdr:nvCxnSpPr>
      <xdr:spPr bwMode="auto">
        <a:xfrm>
          <a:off x="5324475" y="480060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6</xdr:col>
      <xdr:colOff>819150</xdr:colOff>
      <xdr:row>28</xdr:row>
      <xdr:rowOff>9525</xdr:rowOff>
    </xdr:from>
    <xdr:to>
      <xdr:col>6</xdr:col>
      <xdr:colOff>819150</xdr:colOff>
      <xdr:row>29</xdr:row>
      <xdr:rowOff>9525</xdr:rowOff>
    </xdr:to>
    <xdr:sp macro="" textlink="">
      <xdr:nvSpPr>
        <xdr:cNvPr id="27" name="Line 28"/>
        <xdr:cNvSpPr>
          <a:spLocks noChangeShapeType="1"/>
        </xdr:cNvSpPr>
      </xdr:nvSpPr>
      <xdr:spPr bwMode="auto">
        <a:xfrm>
          <a:off x="5133975" y="47339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oleObject" Target="../embeddings/oleObject4.bin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3"/>
  <sheetViews>
    <sheetView view="pageBreakPreview" zoomScaleSheetLayoutView="100" workbookViewId="0">
      <selection activeCell="D6" sqref="D6"/>
    </sheetView>
  </sheetViews>
  <sheetFormatPr defaultColWidth="11.42578125" defaultRowHeight="12.75"/>
  <cols>
    <col min="1" max="1" width="11.42578125" style="2" customWidth="1"/>
    <col min="2" max="2" width="10.85546875" style="2" customWidth="1"/>
    <col min="3" max="3" width="8" style="2" customWidth="1"/>
    <col min="4" max="4" width="10.140625" style="2" customWidth="1"/>
    <col min="5" max="6" width="12.140625" style="2" customWidth="1"/>
    <col min="7" max="7" width="13.7109375" style="2" customWidth="1"/>
    <col min="8" max="8" width="13" style="2" customWidth="1"/>
    <col min="9" max="9" width="12.5703125" style="2" customWidth="1"/>
    <col min="10" max="16384" width="11.42578125" style="2"/>
  </cols>
  <sheetData>
    <row r="1" spans="1:8">
      <c r="A1" s="1" t="s">
        <v>0</v>
      </c>
    </row>
    <row r="2" spans="1:8">
      <c r="A2" s="1"/>
    </row>
    <row r="3" spans="1:8" ht="15.75">
      <c r="A3" s="2" t="s">
        <v>105</v>
      </c>
      <c r="B3" s="2" t="s">
        <v>107</v>
      </c>
      <c r="E3" s="2" t="s">
        <v>1</v>
      </c>
      <c r="G3" s="3">
        <v>20</v>
      </c>
      <c r="H3" s="4" t="s">
        <v>2</v>
      </c>
    </row>
    <row r="4" spans="1:8" ht="15.75">
      <c r="A4" s="2" t="s">
        <v>106</v>
      </c>
      <c r="E4" s="2" t="s">
        <v>3</v>
      </c>
      <c r="G4" s="3">
        <v>500</v>
      </c>
      <c r="H4" s="4" t="s">
        <v>2</v>
      </c>
    </row>
    <row r="5" spans="1:8" ht="14.25">
      <c r="A5" s="1"/>
      <c r="E5" s="2" t="s">
        <v>99</v>
      </c>
      <c r="G5" s="5">
        <v>150</v>
      </c>
      <c r="H5" s="4" t="s">
        <v>4</v>
      </c>
    </row>
    <row r="6" spans="1:8" ht="14.25">
      <c r="A6" s="1"/>
      <c r="E6" s="2" t="s">
        <v>100</v>
      </c>
      <c r="F6" s="2" t="s">
        <v>98</v>
      </c>
      <c r="G6" s="5">
        <v>15</v>
      </c>
      <c r="H6" s="4" t="s">
        <v>4</v>
      </c>
    </row>
    <row r="7" spans="1:8">
      <c r="A7" s="1" t="s">
        <v>5</v>
      </c>
      <c r="B7" s="1"/>
      <c r="C7" s="1"/>
    </row>
    <row r="8" spans="1:8">
      <c r="A8" s="4" t="s">
        <v>6</v>
      </c>
      <c r="D8" s="3">
        <v>1500</v>
      </c>
      <c r="E8" s="4" t="s">
        <v>7</v>
      </c>
    </row>
    <row r="9" spans="1:8">
      <c r="A9" s="4" t="s">
        <v>8</v>
      </c>
      <c r="D9" s="3">
        <v>1800</v>
      </c>
      <c r="E9" s="4" t="s">
        <v>7</v>
      </c>
    </row>
    <row r="10" spans="1:8">
      <c r="A10" s="4" t="s">
        <v>94</v>
      </c>
      <c r="D10" s="58">
        <v>2600</v>
      </c>
      <c r="E10" s="4" t="s">
        <v>7</v>
      </c>
    </row>
    <row r="11" spans="1:8">
      <c r="A11" s="1" t="s">
        <v>9</v>
      </c>
      <c r="D11" s="6"/>
      <c r="E11" s="4"/>
    </row>
    <row r="12" spans="1:8">
      <c r="A12" s="1"/>
      <c r="D12" s="1" t="s">
        <v>95</v>
      </c>
      <c r="E12" s="7" t="s">
        <v>96</v>
      </c>
      <c r="F12" s="7" t="s">
        <v>96</v>
      </c>
      <c r="G12" s="8"/>
    </row>
    <row r="13" spans="1:8">
      <c r="A13" s="2" t="s">
        <v>102</v>
      </c>
      <c r="D13" s="9">
        <v>15</v>
      </c>
      <c r="E13" s="9">
        <v>-425</v>
      </c>
      <c r="F13" s="9">
        <v>-180</v>
      </c>
      <c r="G13" s="4" t="s">
        <v>12</v>
      </c>
    </row>
    <row r="14" spans="1:8">
      <c r="A14" s="2" t="s">
        <v>97</v>
      </c>
      <c r="C14" s="2" t="s">
        <v>98</v>
      </c>
      <c r="D14" s="9">
        <f>D8*D9*D10*25/1000000000</f>
        <v>175.5</v>
      </c>
      <c r="E14" s="9">
        <f>D8*D9*D10*25/1000000000</f>
        <v>175.5</v>
      </c>
      <c r="F14" s="9">
        <f>E14</f>
        <v>175.5</v>
      </c>
      <c r="G14" s="4"/>
    </row>
    <row r="15" spans="1:8">
      <c r="A15" s="2" t="s">
        <v>101</v>
      </c>
      <c r="D15" s="9">
        <f>(D21*D22-D8*D9/1000000)*D10/1000*G6</f>
        <v>210.60000000000008</v>
      </c>
      <c r="E15" s="9">
        <f>(D21*D22-D8*D9/1000000)*D10/1000*G6</f>
        <v>210.60000000000008</v>
      </c>
      <c r="F15" s="9">
        <f>E15</f>
        <v>210.60000000000008</v>
      </c>
      <c r="G15" s="4"/>
    </row>
    <row r="16" spans="1:8">
      <c r="A16" s="2" t="s">
        <v>104</v>
      </c>
      <c r="D16" s="9">
        <f>D13+D14+D15</f>
        <v>401.10000000000008</v>
      </c>
      <c r="E16" s="9">
        <f t="shared" ref="E16:F16" si="0">E13+E14+E15</f>
        <v>-38.89999999999992</v>
      </c>
      <c r="F16" s="9">
        <f t="shared" si="0"/>
        <v>206.10000000000008</v>
      </c>
      <c r="G16" s="4"/>
    </row>
    <row r="17" spans="1:12" ht="15.75">
      <c r="A17" s="2" t="s">
        <v>13</v>
      </c>
      <c r="D17" s="9">
        <v>0</v>
      </c>
      <c r="E17" s="9">
        <v>5</v>
      </c>
      <c r="F17" s="9">
        <v>5</v>
      </c>
      <c r="G17" s="4" t="s">
        <v>14</v>
      </c>
    </row>
    <row r="18" spans="1:12" ht="15.75">
      <c r="A18" s="2" t="s">
        <v>15</v>
      </c>
      <c r="D18" s="9">
        <v>3</v>
      </c>
      <c r="E18" s="9">
        <v>5</v>
      </c>
      <c r="F18" s="9">
        <v>5</v>
      </c>
      <c r="G18" s="4" t="s">
        <v>14</v>
      </c>
    </row>
    <row r="19" spans="1:12">
      <c r="A19" s="1"/>
      <c r="D19" s="1"/>
      <c r="F19" s="10"/>
      <c r="H19" s="4"/>
    </row>
    <row r="20" spans="1:12">
      <c r="A20" s="1" t="s">
        <v>16</v>
      </c>
      <c r="B20" s="1"/>
      <c r="H20" s="4"/>
    </row>
    <row r="21" spans="1:12">
      <c r="A21" s="2" t="s">
        <v>17</v>
      </c>
      <c r="D21" s="3">
        <v>2.7</v>
      </c>
      <c r="E21" s="4" t="s">
        <v>18</v>
      </c>
      <c r="H21" s="4"/>
    </row>
    <row r="22" spans="1:12">
      <c r="A22" s="2" t="s">
        <v>19</v>
      </c>
      <c r="D22" s="3">
        <v>3</v>
      </c>
      <c r="E22" s="4" t="s">
        <v>18</v>
      </c>
    </row>
    <row r="23" spans="1:12">
      <c r="A23" s="2" t="s">
        <v>20</v>
      </c>
      <c r="D23" s="3">
        <v>350</v>
      </c>
      <c r="E23" s="4" t="s">
        <v>7</v>
      </c>
      <c r="F23" s="11"/>
      <c r="I23" s="12"/>
    </row>
    <row r="24" spans="1:12">
      <c r="A24" s="2" t="s">
        <v>21</v>
      </c>
      <c r="D24" s="3">
        <v>350</v>
      </c>
      <c r="E24" s="6" t="s">
        <v>7</v>
      </c>
      <c r="F24" s="11" t="str">
        <f>CONCATENATE("Breadth ",D22," m")</f>
        <v>Breadth 3 m</v>
      </c>
      <c r="G24" s="13" t="s">
        <v>22</v>
      </c>
      <c r="H24" s="10"/>
    </row>
    <row r="25" spans="1:12">
      <c r="A25" s="2" t="s">
        <v>23</v>
      </c>
      <c r="D25" s="3">
        <f>D23-D24</f>
        <v>0</v>
      </c>
      <c r="E25" s="6"/>
      <c r="F25" s="11"/>
      <c r="G25" s="13"/>
      <c r="H25" s="10"/>
    </row>
    <row r="26" spans="1:12">
      <c r="A26" s="2" t="s">
        <v>24</v>
      </c>
      <c r="D26" s="3">
        <v>50</v>
      </c>
      <c r="E26" s="4" t="s">
        <v>7</v>
      </c>
    </row>
    <row r="27" spans="1:12">
      <c r="A27" s="2" t="s">
        <v>25</v>
      </c>
      <c r="D27" s="3">
        <v>12</v>
      </c>
      <c r="E27" s="4" t="s">
        <v>7</v>
      </c>
    </row>
    <row r="28" spans="1:12">
      <c r="A28" s="2" t="s">
        <v>26</v>
      </c>
      <c r="D28" s="4">
        <f>D23-D26-D27/2</f>
        <v>294</v>
      </c>
      <c r="E28" s="4" t="s">
        <v>7</v>
      </c>
      <c r="G28" s="14" t="s">
        <v>27</v>
      </c>
    </row>
    <row r="29" spans="1:12" ht="14.25" customHeight="1">
      <c r="A29" s="2" t="s">
        <v>28</v>
      </c>
      <c r="D29" s="4">
        <f>D24-D26-D27/2</f>
        <v>294</v>
      </c>
      <c r="E29" s="6" t="s">
        <v>7</v>
      </c>
      <c r="G29" s="15"/>
    </row>
    <row r="30" spans="1:12">
      <c r="A30" s="2" t="s">
        <v>29</v>
      </c>
      <c r="D30" s="16">
        <f>L33*25+D24/1000*D21*D22*25</f>
        <v>70.875</v>
      </c>
      <c r="E30" s="4" t="s">
        <v>12</v>
      </c>
      <c r="G30" s="12" t="s">
        <v>22</v>
      </c>
    </row>
    <row r="31" spans="1:12" ht="14.25">
      <c r="A31" s="2" t="s">
        <v>30</v>
      </c>
      <c r="D31" s="16">
        <f>D21*D22</f>
        <v>8.1000000000000014</v>
      </c>
      <c r="E31" s="4" t="s">
        <v>31</v>
      </c>
      <c r="K31" s="2" t="s">
        <v>32</v>
      </c>
      <c r="L31" s="17">
        <f>D31</f>
        <v>8.1000000000000014</v>
      </c>
    </row>
    <row r="32" spans="1:12" ht="14.25">
      <c r="A32" s="2" t="s">
        <v>33</v>
      </c>
      <c r="D32" s="16">
        <f>D21*D22^2/6</f>
        <v>4.05</v>
      </c>
      <c r="E32" s="4" t="s">
        <v>34</v>
      </c>
      <c r="G32" s="13" t="str">
        <f>CONCATENATE("      Length ",D21," m")</f>
        <v xml:space="preserve">      Length 2.7 m</v>
      </c>
      <c r="K32" s="2" t="s">
        <v>35</v>
      </c>
      <c r="L32" s="2">
        <f>D8*D9/1000000</f>
        <v>2.7</v>
      </c>
    </row>
    <row r="33" spans="1:12" ht="14.25">
      <c r="A33" s="2" t="s">
        <v>36</v>
      </c>
      <c r="D33" s="16">
        <f>D22*D21^2/6</f>
        <v>3.6450000000000009</v>
      </c>
      <c r="E33" s="4" t="s">
        <v>34</v>
      </c>
      <c r="K33" s="2" t="s">
        <v>37</v>
      </c>
      <c r="L33" s="2">
        <f>(L31+L32+SQRT(L31*L32))/3*D25/1000</f>
        <v>0</v>
      </c>
    </row>
    <row r="34" spans="1:12">
      <c r="C34" s="1"/>
      <c r="D34" s="1"/>
    </row>
    <row r="35" spans="1:12">
      <c r="A35" s="1" t="s">
        <v>38</v>
      </c>
      <c r="C35" s="1"/>
      <c r="D35" s="1"/>
    </row>
    <row r="36" spans="1:12">
      <c r="D36" s="7" t="s">
        <v>10</v>
      </c>
      <c r="E36" s="7" t="s">
        <v>11</v>
      </c>
      <c r="F36" s="7" t="s">
        <v>11</v>
      </c>
    </row>
    <row r="37" spans="1:12">
      <c r="A37" s="2" t="s">
        <v>39</v>
      </c>
      <c r="D37" s="18">
        <f>D16+D30</f>
        <v>471.97500000000008</v>
      </c>
      <c r="E37" s="18">
        <f>E16+D30</f>
        <v>31.97500000000008</v>
      </c>
      <c r="F37" s="18">
        <f>F16+D30</f>
        <v>276.97500000000008</v>
      </c>
      <c r="G37" s="4" t="s">
        <v>12</v>
      </c>
    </row>
    <row r="38" spans="1:12" ht="15.75" customHeight="1">
      <c r="A38" s="2" t="s">
        <v>40</v>
      </c>
      <c r="D38" s="19">
        <f>(D37/D31)+(D17/D32)+(D18/D33)</f>
        <v>59.09156378600823</v>
      </c>
      <c r="E38" s="19">
        <f>(E37/D31)+(E17/D32)+(E18/D33)</f>
        <v>6.5538408779149613</v>
      </c>
      <c r="F38" s="19">
        <f>(F37/D31)+(F17/D32)+(F18/D33)</f>
        <v>36.800754458161876</v>
      </c>
      <c r="G38" s="4" t="s">
        <v>4</v>
      </c>
    </row>
    <row r="39" spans="1:12" ht="15.75" customHeight="1">
      <c r="A39" s="2" t="s">
        <v>41</v>
      </c>
      <c r="D39" s="18">
        <f>(D37/D31)-(D17/D32)-(D18/D33)</f>
        <v>57.445473251028808</v>
      </c>
      <c r="E39" s="18">
        <f>(E37/D31)-(E17/D32)-(E18/D33)</f>
        <v>1.3412208504801193</v>
      </c>
      <c r="F39" s="18">
        <f>(F37/D31)-(F17/D32)-(F18/D33)</f>
        <v>31.588134430727028</v>
      </c>
      <c r="G39" s="4" t="s">
        <v>4</v>
      </c>
    </row>
    <row r="40" spans="1:12" ht="14.25" customHeight="1">
      <c r="A40" s="2" t="s">
        <v>42</v>
      </c>
      <c r="D40" s="18">
        <f>IF(D39&lt;0, D37*2/(#REF!*D22),D38)</f>
        <v>59.09156378600823</v>
      </c>
      <c r="E40" s="18">
        <f>IF(E39&lt;0, E37*2/(#REF!*D22),E38)</f>
        <v>6.5538408779149613</v>
      </c>
      <c r="F40" s="18">
        <f>IF(F39&lt;0, F37*2/(#REF!*D22),F38)</f>
        <v>36.800754458161876</v>
      </c>
      <c r="G40" s="4" t="s">
        <v>4</v>
      </c>
    </row>
    <row r="41" spans="1:12" ht="14.25" customHeight="1">
      <c r="A41" s="2" t="s">
        <v>43</v>
      </c>
      <c r="D41" s="18">
        <f>IF(D39&lt;0, D37*2/(#REF!*D21),D38)</f>
        <v>59.09156378600823</v>
      </c>
      <c r="E41" s="18">
        <f>IF(E39&lt;0, E37*2/(#REF!*D21),E38)</f>
        <v>6.5538408779149613</v>
      </c>
      <c r="F41" s="18">
        <f>IF(F39&lt;0, F37*2/(#REF!*D21),F38)</f>
        <v>36.800754458161876</v>
      </c>
      <c r="G41" s="4" t="s">
        <v>4</v>
      </c>
    </row>
    <row r="42" spans="1:12" ht="14.25" customHeight="1">
      <c r="A42" s="2" t="s">
        <v>44</v>
      </c>
      <c r="D42" s="18">
        <f>IF(D39&lt;0,D40+D41,D38)</f>
        <v>59.09156378600823</v>
      </c>
      <c r="E42" s="18">
        <f>IF(E39&lt;0,E40+E41,E38)</f>
        <v>6.5538408779149613</v>
      </c>
      <c r="F42" s="18">
        <f>IF(F39&lt;0,F40+F41,F38)</f>
        <v>36.800754458161876</v>
      </c>
      <c r="G42" s="4" t="s">
        <v>4</v>
      </c>
    </row>
    <row r="43" spans="1:12" ht="15" customHeight="1">
      <c r="A43" s="2" t="s">
        <v>45</v>
      </c>
      <c r="D43" s="20">
        <f>G5</f>
        <v>150</v>
      </c>
      <c r="E43" s="18">
        <f>G5*I44+G5</f>
        <v>187.5</v>
      </c>
      <c r="F43" s="18">
        <f>G5*I44+G5</f>
        <v>187.5</v>
      </c>
      <c r="G43" s="4" t="s">
        <v>4</v>
      </c>
    </row>
    <row r="44" spans="1:12" ht="13.5" customHeight="1">
      <c r="A44" s="2" t="s">
        <v>46</v>
      </c>
      <c r="D44" s="21" t="str">
        <f>IF(D43&gt;D42,"Safe ","Unsafe")</f>
        <v xml:space="preserve">Safe </v>
      </c>
      <c r="E44" s="21" t="str">
        <f>IF(E43&gt;E42,"Safe ","Unsafe")</f>
        <v xml:space="preserve">Safe </v>
      </c>
      <c r="F44" s="21" t="str">
        <f>IF(F43&gt;F42,"Safe ","Unsafe")</f>
        <v xml:space="preserve">Safe </v>
      </c>
      <c r="G44" s="2" t="s">
        <v>103</v>
      </c>
      <c r="I44" s="22">
        <v>0.25</v>
      </c>
    </row>
    <row r="45" spans="1:12" ht="12.75" customHeight="1">
      <c r="A45" s="1"/>
      <c r="D45" s="23"/>
      <c r="E45" s="1"/>
      <c r="F45" s="24"/>
    </row>
    <row r="46" spans="1:12" ht="13.5" customHeight="1">
      <c r="A46" s="1" t="s">
        <v>47</v>
      </c>
      <c r="D46" s="23"/>
      <c r="E46" s="1"/>
      <c r="F46" s="1"/>
    </row>
    <row r="47" spans="1:12">
      <c r="A47" s="1"/>
      <c r="D47" s="7" t="s">
        <v>10</v>
      </c>
      <c r="E47" s="7" t="s">
        <v>11</v>
      </c>
      <c r="F47" s="7" t="s">
        <v>11</v>
      </c>
    </row>
    <row r="48" spans="1:12">
      <c r="A48" s="4" t="s">
        <v>48</v>
      </c>
      <c r="D48" s="9">
        <v>1.5</v>
      </c>
      <c r="E48" s="9">
        <v>1.5</v>
      </c>
      <c r="F48" s="9">
        <v>1.5</v>
      </c>
      <c r="G48" s="4" t="s">
        <v>12</v>
      </c>
    </row>
    <row r="49" spans="1:13" ht="16.5" customHeight="1">
      <c r="A49" s="2" t="s">
        <v>49</v>
      </c>
      <c r="D49" s="25">
        <f>D13*D48/D21/D22</f>
        <v>2.7777777777777772</v>
      </c>
      <c r="E49" s="25">
        <f>E42*E48</f>
        <v>9.8307613168724419</v>
      </c>
      <c r="F49" s="25">
        <f>F42*F48</f>
        <v>55.201131687242814</v>
      </c>
      <c r="G49" s="1" t="s">
        <v>4</v>
      </c>
    </row>
    <row r="50" spans="1:13" ht="14.25" customHeight="1">
      <c r="A50" s="2" t="s">
        <v>50</v>
      </c>
      <c r="D50" s="23"/>
      <c r="E50" s="1"/>
      <c r="F50" s="19">
        <f>MAX(D49,E49,F49)</f>
        <v>55.201131687242814</v>
      </c>
      <c r="G50" s="8" t="s">
        <v>4</v>
      </c>
    </row>
    <row r="51" spans="1:13">
      <c r="A51" s="2" t="s">
        <v>51</v>
      </c>
      <c r="D51" s="23"/>
      <c r="E51" s="1"/>
      <c r="F51" s="1"/>
    </row>
    <row r="52" spans="1:13">
      <c r="D52" s="23"/>
      <c r="E52" s="1"/>
      <c r="F52" s="1"/>
    </row>
    <row r="53" spans="1:13">
      <c r="A53" s="1" t="s">
        <v>52</v>
      </c>
    </row>
    <row r="54" spans="1:13" ht="14.25">
      <c r="A54" s="26" t="s">
        <v>53</v>
      </c>
      <c r="B54" s="27"/>
      <c r="C54" s="27"/>
      <c r="D54" s="27"/>
      <c r="E54" s="28">
        <f>F50*D22*((D21-D8/1000)/2)^2/2</f>
        <v>29.808611111111126</v>
      </c>
      <c r="F54" s="29" t="s">
        <v>54</v>
      </c>
      <c r="G54" s="27"/>
      <c r="H54" s="27"/>
    </row>
    <row r="55" spans="1:13" ht="13.5" customHeight="1">
      <c r="A55" s="30"/>
      <c r="B55" s="27"/>
      <c r="C55" s="27"/>
      <c r="D55" s="27"/>
      <c r="E55" s="31" t="s">
        <v>55</v>
      </c>
      <c r="F55" s="28">
        <f>0.138*G3*D22*1000*F59^2/1000000</f>
        <v>715.69008000000008</v>
      </c>
      <c r="G55" s="29" t="s">
        <v>14</v>
      </c>
      <c r="H55" s="27"/>
    </row>
    <row r="56" spans="1:13" ht="13.5" customHeight="1">
      <c r="A56" s="30"/>
      <c r="B56" s="27"/>
      <c r="C56" s="27"/>
      <c r="D56" s="27"/>
      <c r="E56" s="32" t="str">
        <f>IF(E54&lt;=F55,"The section is singly reinforced","The section is doubly reinforced and this spread sheet can't design for doubly renforced section")</f>
        <v>The section is singly reinforced</v>
      </c>
      <c r="F56" s="33"/>
      <c r="G56" s="34"/>
      <c r="H56" s="27"/>
    </row>
    <row r="57" spans="1:13" ht="13.5" customHeight="1">
      <c r="A57" s="30"/>
      <c r="B57" s="27"/>
      <c r="C57" s="27"/>
      <c r="D57" s="27"/>
      <c r="E57" s="28"/>
      <c r="F57" s="35"/>
      <c r="G57" s="27"/>
      <c r="H57" s="27"/>
    </row>
    <row r="58" spans="1:13">
      <c r="A58" s="30"/>
      <c r="B58" s="27"/>
      <c r="C58" s="27"/>
      <c r="D58" s="27"/>
      <c r="E58" s="28"/>
      <c r="F58" s="35"/>
      <c r="G58" s="27"/>
      <c r="H58" s="27"/>
    </row>
    <row r="59" spans="1:13" ht="14.25" customHeight="1">
      <c r="A59" s="35" t="s">
        <v>56</v>
      </c>
      <c r="B59" s="27"/>
      <c r="C59" s="27"/>
      <c r="D59" s="27"/>
      <c r="E59" s="28"/>
      <c r="F59" s="36">
        <f>D23-D26-D27/2</f>
        <v>294</v>
      </c>
      <c r="G59" s="27" t="s">
        <v>7</v>
      </c>
      <c r="H59" s="27"/>
    </row>
    <row r="60" spans="1:13" ht="14.25">
      <c r="A60" s="37" t="s">
        <v>57</v>
      </c>
      <c r="B60" s="36">
        <f>(0.5*G3*D22*1000*F59/G4)*(1-SQRT(1-(4.6*E54*10^6/(G3*D22*1000*F59^2))))</f>
        <v>234.75873958268522</v>
      </c>
      <c r="C60" s="27" t="s">
        <v>58</v>
      </c>
      <c r="D60" s="27"/>
      <c r="E60" s="27"/>
      <c r="F60" s="27"/>
      <c r="G60" s="27"/>
      <c r="H60" s="27"/>
    </row>
    <row r="61" spans="1:13">
      <c r="A61" s="37" t="s">
        <v>59</v>
      </c>
      <c r="B61" s="37"/>
      <c r="C61" s="38">
        <f>1000*(PI()*(D27/2)^2)*D22/B60</f>
        <v>1445.2795546220523</v>
      </c>
      <c r="D61" s="27" t="s">
        <v>60</v>
      </c>
      <c r="E61" s="27"/>
      <c r="F61" s="27"/>
      <c r="G61" s="27"/>
      <c r="H61" s="27"/>
      <c r="I61" s="27"/>
    </row>
    <row r="62" spans="1:13">
      <c r="A62" s="2" t="s">
        <v>61</v>
      </c>
      <c r="C62" s="5">
        <v>200</v>
      </c>
      <c r="D62" s="2" t="s">
        <v>7</v>
      </c>
      <c r="F62" s="39"/>
      <c r="G62" s="28"/>
      <c r="H62" s="40"/>
      <c r="I62" s="27"/>
      <c r="J62" s="27"/>
      <c r="K62" s="27"/>
      <c r="L62" s="27"/>
      <c r="M62" s="41"/>
    </row>
    <row r="63" spans="1:13">
      <c r="A63" s="27" t="str">
        <f>CONCATENATE("Hence provide ",D27," mm dia bar @ ",TRUNC(C62,0)," mm c/c parellel to length of footing ( || to Z)")</f>
        <v>Hence provide 12 mm dia bar @ 200 mm c/c parellel to length of footing ( || to Z)</v>
      </c>
      <c r="B63" s="27"/>
      <c r="C63" s="27"/>
      <c r="D63" s="27"/>
      <c r="E63" s="42"/>
      <c r="F63" s="27"/>
      <c r="G63" s="27"/>
      <c r="H63" s="27"/>
    </row>
    <row r="64" spans="1:13">
      <c r="A64" s="27"/>
      <c r="B64" s="27"/>
      <c r="C64" s="27"/>
      <c r="D64" s="27"/>
      <c r="E64" s="42"/>
      <c r="F64" s="27"/>
      <c r="G64" s="27"/>
      <c r="H64" s="27"/>
    </row>
    <row r="65" spans="1:14" ht="14.25">
      <c r="A65" s="29" t="s">
        <v>62</v>
      </c>
      <c r="B65" s="27"/>
      <c r="C65" s="27"/>
      <c r="D65" s="27"/>
      <c r="E65" s="28">
        <f>F50*D21*((D22-D9/1000)/2)^2/2</f>
        <v>26.827750000000009</v>
      </c>
      <c r="F65" s="29" t="s">
        <v>54</v>
      </c>
      <c r="G65" s="34" t="str">
        <f>IF(E65&lt;=F66,"The section is singly reinforced","The section is doubly reinforced and this spread sheet can't design for doubly renforced section")</f>
        <v>The section is singly reinforced</v>
      </c>
      <c r="H65" s="34"/>
    </row>
    <row r="66" spans="1:14">
      <c r="A66" s="29"/>
      <c r="B66" s="27"/>
      <c r="C66" s="27"/>
      <c r="D66" s="27"/>
      <c r="E66" s="31" t="s">
        <v>55</v>
      </c>
      <c r="F66" s="28">
        <f>0.138*G3*D21*1000*F59^2/1000000</f>
        <v>644.12107200000014</v>
      </c>
      <c r="G66" s="29" t="s">
        <v>63</v>
      </c>
      <c r="H66" s="27"/>
    </row>
    <row r="67" spans="1:14">
      <c r="A67" s="43" t="s">
        <v>56</v>
      </c>
      <c r="B67" s="27"/>
      <c r="C67" s="27"/>
      <c r="D67" s="27"/>
      <c r="E67" s="28"/>
      <c r="F67" s="36">
        <f>F59</f>
        <v>294</v>
      </c>
      <c r="G67" s="27" t="s">
        <v>7</v>
      </c>
      <c r="H67" s="27"/>
    </row>
    <row r="68" spans="1:14" ht="14.25">
      <c r="A68" s="37" t="s">
        <v>64</v>
      </c>
      <c r="B68" s="36">
        <f>(0.5*G3*D21*1000*F67/G4)*(1-SQRT(1-(4.6*E65*10^6/(G3*D21*1000*F67^2))))</f>
        <v>211.2828656244167</v>
      </c>
      <c r="C68" s="27" t="s">
        <v>58</v>
      </c>
      <c r="D68" s="27"/>
      <c r="E68" s="27"/>
      <c r="F68" s="27"/>
      <c r="G68" s="27"/>
      <c r="H68" s="27"/>
      <c r="I68" s="1"/>
    </row>
    <row r="69" spans="1:14">
      <c r="A69" s="37" t="s">
        <v>59</v>
      </c>
      <c r="B69" s="37"/>
      <c r="C69" s="38">
        <f>1000*(PI()*(D27/2)^2)*D21/B68</f>
        <v>1445.2795546220523</v>
      </c>
      <c r="D69" s="27" t="s">
        <v>60</v>
      </c>
      <c r="E69" s="27"/>
      <c r="F69" s="27"/>
      <c r="G69" s="27"/>
      <c r="H69" s="27"/>
      <c r="I69" s="27"/>
      <c r="J69" s="27"/>
      <c r="K69" s="1"/>
    </row>
    <row r="70" spans="1:14">
      <c r="A70" s="2" t="s">
        <v>61</v>
      </c>
      <c r="C70" s="5">
        <v>200</v>
      </c>
      <c r="D70" s="2" t="s">
        <v>7</v>
      </c>
      <c r="F70" s="39"/>
      <c r="G70" s="44"/>
      <c r="H70" s="27"/>
      <c r="I70" s="27"/>
      <c r="J70" s="27"/>
      <c r="K70" s="27"/>
      <c r="L70" s="27"/>
      <c r="M70" s="41"/>
      <c r="N70" s="1"/>
    </row>
    <row r="71" spans="1:14">
      <c r="A71" s="27" t="str">
        <f>CONCATENATE("Hence provide ",D27," mm dia bar @ ",TRUNC(C70,0)," mm c/c parellel to breadth of footing ( || to X)")</f>
        <v>Hence provide 12 mm dia bar @ 200 mm c/c parellel to breadth of footing ( || to X)</v>
      </c>
      <c r="B71" s="27"/>
      <c r="C71" s="27"/>
      <c r="D71" s="27"/>
      <c r="E71" s="42"/>
      <c r="F71" s="27"/>
      <c r="G71" s="27"/>
      <c r="H71" s="27"/>
      <c r="I71" s="1"/>
    </row>
    <row r="72" spans="1:14">
      <c r="A72" s="27"/>
      <c r="B72" s="27"/>
      <c r="C72" s="27"/>
      <c r="D72" s="27"/>
      <c r="E72" s="42"/>
      <c r="F72" s="27"/>
      <c r="G72" s="27"/>
      <c r="H72" s="27"/>
      <c r="I72" s="1"/>
    </row>
    <row r="73" spans="1:14" ht="15.75" customHeight="1">
      <c r="A73" s="45" t="s">
        <v>65</v>
      </c>
      <c r="B73" s="46"/>
      <c r="C73" s="46"/>
    </row>
    <row r="74" spans="1:14" ht="13.5" customHeight="1">
      <c r="A74" s="1" t="s">
        <v>66</v>
      </c>
    </row>
    <row r="75" spans="1:14" ht="14.25" customHeight="1">
      <c r="A75" s="4" t="s">
        <v>67</v>
      </c>
      <c r="F75" s="47">
        <f>D28-D28*(D23-D24)/(0.5*(D21*1000-D8))</f>
        <v>294</v>
      </c>
      <c r="G75" s="2" t="s">
        <v>7</v>
      </c>
    </row>
    <row r="76" spans="1:14" ht="15" customHeight="1">
      <c r="A76" s="4" t="s">
        <v>68</v>
      </c>
      <c r="F76" s="4">
        <f>((D21*1000/2)-(D8/2)-D28)/1000</f>
        <v>0.30599999999999999</v>
      </c>
      <c r="G76" s="2" t="s">
        <v>18</v>
      </c>
    </row>
    <row r="77" spans="1:14" s="4" customFormat="1" ht="15" customHeight="1">
      <c r="A77" s="4" t="s">
        <v>69</v>
      </c>
      <c r="F77" s="4">
        <f>D22-(2*F85)</f>
        <v>2.3879999999999999</v>
      </c>
      <c r="G77" s="4" t="s">
        <v>18</v>
      </c>
    </row>
    <row r="78" spans="1:14">
      <c r="A78" s="2" t="str">
        <f>CONCATENATE("Shear force   Vs =pe max x ",F76," x width of footing = ")</f>
        <v xml:space="preserve">Shear force   Vs =pe max x 0.306 x width of footing = </v>
      </c>
      <c r="D78" s="2" t="s">
        <v>70</v>
      </c>
      <c r="E78" s="2" t="s">
        <v>71</v>
      </c>
      <c r="F78" s="48">
        <f>F50*F76*D22</f>
        <v>50.674638888888907</v>
      </c>
      <c r="G78" s="11" t="s">
        <v>12</v>
      </c>
    </row>
    <row r="79" spans="1:14">
      <c r="A79" s="2" t="s">
        <v>72</v>
      </c>
      <c r="D79" s="17">
        <f>((PI()*POWER(D27/2,2)*D22*1000/C62)/(D22*1000*F75))*100</f>
        <v>0.19234240736264038</v>
      </c>
      <c r="E79" s="2" t="s">
        <v>73</v>
      </c>
      <c r="F79" s="49"/>
      <c r="G79" s="11"/>
    </row>
    <row r="80" spans="1:14" ht="16.5">
      <c r="A80" s="2" t="s">
        <v>74</v>
      </c>
      <c r="B80" s="50" t="s">
        <v>75</v>
      </c>
      <c r="C80" s="50"/>
      <c r="D80" s="50"/>
      <c r="E80" s="51">
        <f>F78*1000/(((F75*F77*1000)+((D22*1000-F77*1000)*(F75+D29)/2)))</f>
        <v>5.7454239103048643E-2</v>
      </c>
      <c r="F80" s="4" t="s">
        <v>2</v>
      </c>
      <c r="G80" s="4"/>
      <c r="H80" s="52"/>
    </row>
    <row r="81" spans="1:7" ht="16.5">
      <c r="A81" s="52" t="s">
        <v>76</v>
      </c>
      <c r="B81" s="52"/>
      <c r="C81" s="48">
        <f>(0.85*SQRT(0.8*G3)*(SQRT(1+5*(IF((0.8*G3/(6.89*D79))&lt;1,1,(0.8*G3/(6.89*D79))))) -1))/(6*(IF((0.8*G3/(6.89*D79))&lt;1,1,(0.8*G3/(6.89*D79)))))</f>
        <v>0.32074231731886221</v>
      </c>
      <c r="D81" s="4" t="s">
        <v>2</v>
      </c>
      <c r="E81" s="1"/>
      <c r="F81" s="1"/>
    </row>
    <row r="82" spans="1:7" ht="15.75">
      <c r="A82" s="53" t="str">
        <f>IF(E80&gt;C81,"tv &gt; tc hence Unsafe","tv &lt; tc hence O.K.")</f>
        <v>tv &lt; tc hence O.K.</v>
      </c>
      <c r="B82" s="54"/>
      <c r="D82" s="55"/>
    </row>
    <row r="83" spans="1:7">
      <c r="A83" s="1" t="s">
        <v>77</v>
      </c>
    </row>
    <row r="84" spans="1:7">
      <c r="A84" s="4" t="s">
        <v>78</v>
      </c>
      <c r="F84" s="47">
        <f>D28-D28*(D23-D24)/(0.5*(D22*1000-D9))</f>
        <v>294</v>
      </c>
      <c r="G84" s="2" t="s">
        <v>7</v>
      </c>
    </row>
    <row r="85" spans="1:7">
      <c r="A85" s="4" t="s">
        <v>79</v>
      </c>
      <c r="F85" s="1">
        <f>((D22*1000/2)-(D9/2)-D28)/1000</f>
        <v>0.30599999999999999</v>
      </c>
      <c r="G85" s="2" t="s">
        <v>18</v>
      </c>
    </row>
    <row r="86" spans="1:7" s="4" customFormat="1">
      <c r="A86" s="4" t="s">
        <v>80</v>
      </c>
      <c r="F86" s="4">
        <f>D21-(2*F76)</f>
        <v>2.0880000000000001</v>
      </c>
      <c r="G86" s="4" t="s">
        <v>18</v>
      </c>
    </row>
    <row r="87" spans="1:7">
      <c r="A87" s="2" t="str">
        <f>CONCATENATE("Shear force   Vs =pe max x ",F85," x  width of footing = ")</f>
        <v xml:space="preserve">Shear force   Vs =pe max x 0.306 x  width of footing = </v>
      </c>
      <c r="F87" s="48">
        <f>F50*F85*D21</f>
        <v>45.607175000000019</v>
      </c>
      <c r="G87" s="11" t="s">
        <v>12</v>
      </c>
    </row>
    <row r="88" spans="1:7">
      <c r="A88" s="2" t="s">
        <v>72</v>
      </c>
      <c r="D88" s="17">
        <f>((PI()*POWER(D27/2,2)*D21*1000/C70)/(D21*1000*F84))*100</f>
        <v>0.19234240736264041</v>
      </c>
      <c r="E88" s="2" t="s">
        <v>73</v>
      </c>
      <c r="F88" s="49"/>
      <c r="G88" s="11"/>
    </row>
    <row r="89" spans="1:7" ht="16.5">
      <c r="A89" s="2" t="s">
        <v>74</v>
      </c>
      <c r="B89" s="50" t="s">
        <v>81</v>
      </c>
      <c r="C89" s="50"/>
      <c r="D89" s="50"/>
      <c r="E89" s="49">
        <f>F87*1000/(((F84*F86*1000)+((D21*1000-F86*1000)*(F84+D29)/2)))</f>
        <v>5.7454239103048643E-2</v>
      </c>
      <c r="F89" s="4" t="s">
        <v>2</v>
      </c>
      <c r="G89" s="52"/>
    </row>
    <row r="90" spans="1:7" ht="16.5">
      <c r="A90" s="52" t="s">
        <v>76</v>
      </c>
      <c r="B90" s="48">
        <f>(0.85*SQRT(0.8*G3)*(SQRT(1+5*(IF((0.8*G3/(6.89*D88))&lt;1,1,(0.8*G3/(6.89*D88))))) -1))/(6*(IF((0.8*G3/(6.89*D88))&lt;1,1,(0.8*G3/(6.89*D88)))))</f>
        <v>0.32074231731886227</v>
      </c>
      <c r="C90" s="4" t="s">
        <v>2</v>
      </c>
      <c r="D90" s="55"/>
    </row>
    <row r="91" spans="1:7" ht="15.75">
      <c r="A91" s="53" t="str">
        <f>IF(E89&gt;B90,"tv &gt; tc hence Unsafe","tv &lt; tc hence O.K.")</f>
        <v>tv &lt; tc hence O.K.</v>
      </c>
      <c r="B91" s="54"/>
      <c r="D91" s="55"/>
    </row>
    <row r="92" spans="1:7" ht="15.75">
      <c r="A92" s="50"/>
      <c r="B92" s="52"/>
      <c r="C92" s="56"/>
      <c r="D92" s="55"/>
    </row>
    <row r="93" spans="1:7">
      <c r="A93" s="1" t="s">
        <v>82</v>
      </c>
    </row>
    <row r="94" spans="1:7">
      <c r="A94" s="1" t="s">
        <v>83</v>
      </c>
    </row>
    <row r="95" spans="1:7" ht="16.5">
      <c r="A95" s="2" t="s">
        <v>84</v>
      </c>
      <c r="D95" s="2" t="s">
        <v>85</v>
      </c>
    </row>
    <row r="96" spans="1:7" ht="15.75">
      <c r="A96" s="2" t="s">
        <v>86</v>
      </c>
      <c r="C96" s="1">
        <f>0.5+D8/D9</f>
        <v>1.3333333333333335</v>
      </c>
      <c r="D96" s="2" t="str">
        <f>IF(C96&lt;1,"&lt;1","&gt;1")</f>
        <v>&gt;1</v>
      </c>
      <c r="E96" s="1"/>
    </row>
    <row r="97" spans="1:8" ht="15.75">
      <c r="A97" s="2" t="s">
        <v>87</v>
      </c>
      <c r="C97" s="23">
        <f>IF(C96&gt;1,1,C96)</f>
        <v>1</v>
      </c>
      <c r="D97" s="1"/>
    </row>
    <row r="98" spans="1:8" ht="16.5">
      <c r="A98" s="52" t="s">
        <v>88</v>
      </c>
      <c r="C98" s="1">
        <f>0.25*(G3)^0.5</f>
        <v>1.1180339887498949</v>
      </c>
      <c r="D98" s="4" t="s">
        <v>2</v>
      </c>
    </row>
    <row r="99" spans="1:8" ht="16.5">
      <c r="A99" s="52" t="s">
        <v>89</v>
      </c>
      <c r="C99" s="1">
        <f>C97*C98</f>
        <v>1.1180339887498949</v>
      </c>
      <c r="D99" s="4" t="s">
        <v>2</v>
      </c>
    </row>
    <row r="100" spans="1:8">
      <c r="A100" s="4" t="s">
        <v>90</v>
      </c>
      <c r="C100" s="1"/>
      <c r="D100" s="4"/>
      <c r="F100" s="17">
        <f>D28-0.5*D28*(D23-D24)/(0.5*(D21*1000-D8))</f>
        <v>294</v>
      </c>
      <c r="G100" s="2" t="s">
        <v>7</v>
      </c>
    </row>
    <row r="101" spans="1:8">
      <c r="A101" s="4" t="s">
        <v>91</v>
      </c>
      <c r="C101" s="1"/>
      <c r="D101" s="4"/>
      <c r="E101" s="2">
        <f>D8+D28</f>
        <v>1794</v>
      </c>
      <c r="F101" s="2" t="s">
        <v>7</v>
      </c>
      <c r="G101" s="2">
        <f>D9+D28</f>
        <v>2094</v>
      </c>
      <c r="H101" s="2" t="s">
        <v>7</v>
      </c>
    </row>
    <row r="102" spans="1:8">
      <c r="A102" s="2" t="str">
        <f>CONCATENATE("Shear force   Vs = ",TRUNC(F50,3)," ( ",D21," x ",D22," - ",E101/1000," x ",G101/1000,") = ")</f>
        <v xml:space="preserve">Shear force   Vs = 55.201 ( 2.7 x 3 - 1.794 x 2.094) = </v>
      </c>
      <c r="F102" s="48">
        <f>F50*(D21*D22-(E101/1000)*(G101/1000))</f>
        <v>239.75860812962975</v>
      </c>
      <c r="G102" s="4" t="s">
        <v>12</v>
      </c>
    </row>
    <row r="103" spans="1:8">
      <c r="A103" s="2" t="str">
        <f>CONCATENATE("Length of critical section = 2 x ","( ",E101," + ",G101,") = ")</f>
        <v xml:space="preserve">Length of critical section = 2 x ( 1794 + 2094) = </v>
      </c>
      <c r="D103" s="1"/>
      <c r="E103" s="1"/>
      <c r="F103" s="1">
        <f>2*(E101+G101)</f>
        <v>7776</v>
      </c>
      <c r="G103" s="4" t="s">
        <v>7</v>
      </c>
    </row>
    <row r="104" spans="1:8" ht="14.25">
      <c r="A104" s="2" t="s">
        <v>92</v>
      </c>
      <c r="D104" s="1"/>
      <c r="F104" s="1">
        <f>F103*F100</f>
        <v>2286144</v>
      </c>
      <c r="G104" s="4" t="s">
        <v>58</v>
      </c>
    </row>
    <row r="105" spans="1:8" ht="16.5">
      <c r="A105" s="2" t="s">
        <v>93</v>
      </c>
      <c r="B105" s="50"/>
      <c r="C105" s="49">
        <f>F102*1000/F104</f>
        <v>0.10487467461788486</v>
      </c>
      <c r="D105" s="4" t="s">
        <v>2</v>
      </c>
    </row>
    <row r="106" spans="1:8">
      <c r="A106" s="53" t="str">
        <f>IF(C105&gt;C99,"tv &gt; tc hence Unsafe increase depth of footing","tv &lt; allowable hence O.K.")</f>
        <v>tv &lt; allowable hence O.K.</v>
      </c>
      <c r="B106" s="54"/>
    </row>
    <row r="107" spans="1:8">
      <c r="A107" s="54"/>
      <c r="B107" s="54"/>
    </row>
    <row r="109" spans="1:8">
      <c r="C109" s="1"/>
      <c r="D109" s="1"/>
    </row>
    <row r="115" spans="1:5">
      <c r="A115" s="1"/>
    </row>
    <row r="117" spans="1:5">
      <c r="A117" s="1"/>
      <c r="D117" s="23"/>
      <c r="E117" s="1"/>
    </row>
    <row r="118" spans="1:5">
      <c r="A118" s="1"/>
      <c r="D118" s="23"/>
      <c r="E118" s="57"/>
    </row>
    <row r="119" spans="1:5">
      <c r="D119" s="23"/>
      <c r="E119" s="1"/>
    </row>
    <row r="120" spans="1:5">
      <c r="D120" s="23"/>
      <c r="E120" s="1"/>
    </row>
    <row r="121" spans="1:5">
      <c r="D121" s="23"/>
      <c r="E121" s="1"/>
    </row>
    <row r="122" spans="1:5">
      <c r="D122" s="23"/>
      <c r="E122" s="1"/>
    </row>
    <row r="123" spans="1:5">
      <c r="D123" s="23"/>
      <c r="E123" s="1"/>
    </row>
  </sheetData>
  <pageMargins left="0.75" right="0.75" top="1" bottom="1" header="0.5" footer="0.5"/>
  <pageSetup paperSize="9" scale="77" orientation="portrait" r:id="rId1"/>
  <headerFooter alignWithMargins="0">
    <oddFooter>&amp;L&amp;F</oddFooter>
  </headerFooter>
  <rowBreaks count="1" manualBreakCount="1">
    <brk id="64" max="8" man="1"/>
  </rowBreaks>
  <drawing r:id="rId2"/>
  <legacyDrawing r:id="rId3"/>
  <oleObjects>
    <oleObject progId="Equation.3" shapeId="14337" r:id="rId4"/>
    <oleObject progId="Equation.3" shapeId="14338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N123"/>
  <sheetViews>
    <sheetView tabSelected="1" view="pageBreakPreview" zoomScaleSheetLayoutView="100" workbookViewId="0">
      <selection activeCell="E13" sqref="E13"/>
    </sheetView>
  </sheetViews>
  <sheetFormatPr defaultColWidth="11.42578125" defaultRowHeight="12.75"/>
  <cols>
    <col min="1" max="1" width="11.42578125" style="2" customWidth="1"/>
    <col min="2" max="2" width="10.85546875" style="2" customWidth="1"/>
    <col min="3" max="3" width="8" style="2" customWidth="1"/>
    <col min="4" max="4" width="10.140625" style="2" customWidth="1"/>
    <col min="5" max="6" width="12.140625" style="2" customWidth="1"/>
    <col min="7" max="7" width="13.7109375" style="2" customWidth="1"/>
    <col min="8" max="8" width="13" style="2" customWidth="1"/>
    <col min="9" max="9" width="12.5703125" style="2" customWidth="1"/>
    <col min="10" max="16384" width="11.42578125" style="2"/>
  </cols>
  <sheetData>
    <row r="1" spans="1:8">
      <c r="A1" s="1" t="s">
        <v>0</v>
      </c>
    </row>
    <row r="2" spans="1:8">
      <c r="A2" s="1"/>
    </row>
    <row r="3" spans="1:8" ht="15.75">
      <c r="A3" s="2" t="s">
        <v>105</v>
      </c>
      <c r="B3" s="2" t="s">
        <v>107</v>
      </c>
      <c r="E3" s="2" t="s">
        <v>1</v>
      </c>
      <c r="G3" s="3">
        <v>20</v>
      </c>
      <c r="H3" s="4" t="s">
        <v>2</v>
      </c>
    </row>
    <row r="4" spans="1:8" ht="15.75">
      <c r="A4" s="2" t="s">
        <v>106</v>
      </c>
      <c r="E4" s="2" t="s">
        <v>3</v>
      </c>
      <c r="G4" s="3">
        <v>500</v>
      </c>
      <c r="H4" s="4" t="s">
        <v>2</v>
      </c>
    </row>
    <row r="5" spans="1:8" ht="14.25">
      <c r="A5" s="1"/>
      <c r="E5" s="2" t="s">
        <v>99</v>
      </c>
      <c r="G5" s="5">
        <v>150</v>
      </c>
      <c r="H5" s="4" t="s">
        <v>4</v>
      </c>
    </row>
    <row r="6" spans="1:8" ht="14.25">
      <c r="A6" s="1"/>
      <c r="E6" s="2" t="s">
        <v>100</v>
      </c>
      <c r="F6" s="2" t="s">
        <v>98</v>
      </c>
      <c r="G6" s="5">
        <v>15</v>
      </c>
      <c r="H6" s="4" t="s">
        <v>4</v>
      </c>
    </row>
    <row r="7" spans="1:8">
      <c r="A7" s="1" t="s">
        <v>5</v>
      </c>
      <c r="B7" s="1"/>
      <c r="C7" s="1"/>
    </row>
    <row r="8" spans="1:8">
      <c r="A8" s="4" t="s">
        <v>6</v>
      </c>
      <c r="D8" s="3">
        <v>1200</v>
      </c>
      <c r="E8" s="4" t="s">
        <v>7</v>
      </c>
    </row>
    <row r="9" spans="1:8">
      <c r="A9" s="4" t="s">
        <v>8</v>
      </c>
      <c r="D9" s="3">
        <v>1500</v>
      </c>
      <c r="E9" s="4" t="s">
        <v>7</v>
      </c>
    </row>
    <row r="10" spans="1:8">
      <c r="A10" s="4" t="s">
        <v>94</v>
      </c>
      <c r="D10" s="58">
        <v>2600</v>
      </c>
      <c r="E10" s="4" t="s">
        <v>7</v>
      </c>
    </row>
    <row r="11" spans="1:8">
      <c r="A11" s="1" t="s">
        <v>9</v>
      </c>
      <c r="D11" s="6"/>
      <c r="E11" s="4"/>
    </row>
    <row r="12" spans="1:8">
      <c r="A12" s="1"/>
      <c r="D12" s="1" t="s">
        <v>95</v>
      </c>
      <c r="E12" s="7" t="s">
        <v>96</v>
      </c>
      <c r="F12" s="7" t="s">
        <v>96</v>
      </c>
      <c r="G12" s="8"/>
    </row>
    <row r="13" spans="1:8">
      <c r="A13" s="2" t="s">
        <v>102</v>
      </c>
      <c r="D13" s="9">
        <v>15</v>
      </c>
      <c r="E13" s="9">
        <v>-400</v>
      </c>
      <c r="F13" s="9">
        <v>-180</v>
      </c>
      <c r="G13" s="4" t="s">
        <v>12</v>
      </c>
    </row>
    <row r="14" spans="1:8">
      <c r="A14" s="2" t="s">
        <v>97</v>
      </c>
      <c r="C14" s="2" t="s">
        <v>98</v>
      </c>
      <c r="D14" s="9">
        <f>D8*D9*D10*25/1000000000</f>
        <v>117</v>
      </c>
      <c r="E14" s="9">
        <f>D8*D9*D10*25/1000000000</f>
        <v>117</v>
      </c>
      <c r="F14" s="9">
        <f>E14</f>
        <v>117</v>
      </c>
      <c r="G14" s="4"/>
    </row>
    <row r="15" spans="1:8">
      <c r="A15" s="2" t="s">
        <v>101</v>
      </c>
      <c r="D15" s="9">
        <f>(D21*D22-D8*D9/1000000)*D10/1000*G6</f>
        <v>245.70000000000005</v>
      </c>
      <c r="E15" s="9">
        <f>(D21*D22-D8*D9/1000000)*D10/1000*G6</f>
        <v>245.70000000000005</v>
      </c>
      <c r="F15" s="9">
        <f>E15</f>
        <v>245.70000000000005</v>
      </c>
      <c r="G15" s="4"/>
    </row>
    <row r="16" spans="1:8">
      <c r="A16" s="2" t="s">
        <v>104</v>
      </c>
      <c r="D16" s="9">
        <f>D13+D14+D15</f>
        <v>377.70000000000005</v>
      </c>
      <c r="E16" s="9">
        <f t="shared" ref="E16:F16" si="0">E13+E14+E15</f>
        <v>-37.299999999999955</v>
      </c>
      <c r="F16" s="9">
        <f t="shared" si="0"/>
        <v>182.70000000000005</v>
      </c>
      <c r="G16" s="4"/>
    </row>
    <row r="17" spans="1:12" ht="15.75">
      <c r="A17" s="2" t="s">
        <v>13</v>
      </c>
      <c r="D17" s="9">
        <v>0</v>
      </c>
      <c r="E17" s="9">
        <v>5</v>
      </c>
      <c r="F17" s="9">
        <v>5</v>
      </c>
      <c r="G17" s="4" t="s">
        <v>14</v>
      </c>
    </row>
    <row r="18" spans="1:12" ht="15.75">
      <c r="A18" s="2" t="s">
        <v>15</v>
      </c>
      <c r="D18" s="9">
        <v>3</v>
      </c>
      <c r="E18" s="9">
        <v>5</v>
      </c>
      <c r="F18" s="9">
        <v>5</v>
      </c>
      <c r="G18" s="4" t="s">
        <v>14</v>
      </c>
    </row>
    <row r="19" spans="1:12">
      <c r="A19" s="1"/>
      <c r="D19" s="1"/>
      <c r="F19" s="10"/>
      <c r="H19" s="4"/>
    </row>
    <row r="20" spans="1:12">
      <c r="A20" s="1" t="s">
        <v>16</v>
      </c>
      <c r="B20" s="1"/>
      <c r="H20" s="4"/>
    </row>
    <row r="21" spans="1:12">
      <c r="A21" s="2" t="s">
        <v>17</v>
      </c>
      <c r="D21" s="3">
        <v>2.7</v>
      </c>
      <c r="E21" s="4" t="s">
        <v>18</v>
      </c>
      <c r="H21" s="4"/>
    </row>
    <row r="22" spans="1:12">
      <c r="A22" s="2" t="s">
        <v>19</v>
      </c>
      <c r="D22" s="3">
        <v>3</v>
      </c>
      <c r="E22" s="4" t="s">
        <v>18</v>
      </c>
    </row>
    <row r="23" spans="1:12">
      <c r="A23" s="2" t="s">
        <v>20</v>
      </c>
      <c r="D23" s="3">
        <v>350</v>
      </c>
      <c r="E23" s="4" t="s">
        <v>7</v>
      </c>
      <c r="F23" s="11"/>
      <c r="I23" s="12"/>
    </row>
    <row r="24" spans="1:12">
      <c r="A24" s="2" t="s">
        <v>21</v>
      </c>
      <c r="D24" s="3">
        <v>350</v>
      </c>
      <c r="E24" s="6" t="s">
        <v>7</v>
      </c>
      <c r="F24" s="11" t="str">
        <f>CONCATENATE("Breadth ",D22," m")</f>
        <v>Breadth 3 m</v>
      </c>
      <c r="G24" s="13" t="s">
        <v>22</v>
      </c>
      <c r="H24" s="10"/>
    </row>
    <row r="25" spans="1:12">
      <c r="A25" s="2" t="s">
        <v>23</v>
      </c>
      <c r="D25" s="3">
        <f>D23-D24</f>
        <v>0</v>
      </c>
      <c r="E25" s="6"/>
      <c r="F25" s="11"/>
      <c r="G25" s="13"/>
      <c r="H25" s="10"/>
    </row>
    <row r="26" spans="1:12">
      <c r="A26" s="2" t="s">
        <v>24</v>
      </c>
      <c r="D26" s="3">
        <v>50</v>
      </c>
      <c r="E26" s="4" t="s">
        <v>7</v>
      </c>
    </row>
    <row r="27" spans="1:12">
      <c r="A27" s="2" t="s">
        <v>25</v>
      </c>
      <c r="D27" s="3">
        <v>12</v>
      </c>
      <c r="E27" s="4" t="s">
        <v>7</v>
      </c>
    </row>
    <row r="28" spans="1:12">
      <c r="A28" s="2" t="s">
        <v>26</v>
      </c>
      <c r="D28" s="4">
        <f>D23-D26-D27/2</f>
        <v>294</v>
      </c>
      <c r="E28" s="4" t="s">
        <v>7</v>
      </c>
      <c r="G28" s="14" t="s">
        <v>27</v>
      </c>
    </row>
    <row r="29" spans="1:12" ht="14.25" customHeight="1">
      <c r="A29" s="2" t="s">
        <v>28</v>
      </c>
      <c r="D29" s="4">
        <f>D24-D26-D27/2</f>
        <v>294</v>
      </c>
      <c r="E29" s="6" t="s">
        <v>7</v>
      </c>
      <c r="G29" s="15"/>
    </row>
    <row r="30" spans="1:12">
      <c r="A30" s="2" t="s">
        <v>29</v>
      </c>
      <c r="D30" s="16">
        <f>L33*25+D24/1000*D21*D22*25</f>
        <v>70.875</v>
      </c>
      <c r="E30" s="4" t="s">
        <v>12</v>
      </c>
      <c r="G30" s="12" t="s">
        <v>22</v>
      </c>
    </row>
    <row r="31" spans="1:12" ht="14.25">
      <c r="A31" s="2" t="s">
        <v>30</v>
      </c>
      <c r="D31" s="16">
        <f>D21*D22</f>
        <v>8.1000000000000014</v>
      </c>
      <c r="E31" s="4" t="s">
        <v>31</v>
      </c>
      <c r="K31" s="2" t="s">
        <v>32</v>
      </c>
      <c r="L31" s="17">
        <f>D31</f>
        <v>8.1000000000000014</v>
      </c>
    </row>
    <row r="32" spans="1:12" ht="14.25">
      <c r="A32" s="2" t="s">
        <v>33</v>
      </c>
      <c r="D32" s="16">
        <f>D21*D22^2/6</f>
        <v>4.05</v>
      </c>
      <c r="E32" s="4" t="s">
        <v>34</v>
      </c>
      <c r="G32" s="13" t="str">
        <f>CONCATENATE("      Length ",D21," m")</f>
        <v xml:space="preserve">      Length 2.7 m</v>
      </c>
      <c r="K32" s="2" t="s">
        <v>35</v>
      </c>
      <c r="L32" s="2">
        <f>D8*D9/1000000</f>
        <v>1.8</v>
      </c>
    </row>
    <row r="33" spans="1:12" ht="14.25">
      <c r="A33" s="2" t="s">
        <v>36</v>
      </c>
      <c r="D33" s="16">
        <f>D22*D21^2/6</f>
        <v>3.6450000000000009</v>
      </c>
      <c r="E33" s="4" t="s">
        <v>34</v>
      </c>
      <c r="K33" s="2" t="s">
        <v>37</v>
      </c>
      <c r="L33" s="2">
        <f>(L31+L32+SQRT(L31*L32))/3*D25/1000</f>
        <v>0</v>
      </c>
    </row>
    <row r="34" spans="1:12">
      <c r="C34" s="1"/>
      <c r="D34" s="1"/>
    </row>
    <row r="35" spans="1:12">
      <c r="A35" s="1" t="s">
        <v>38</v>
      </c>
      <c r="C35" s="1"/>
      <c r="D35" s="1"/>
    </row>
    <row r="36" spans="1:12">
      <c r="D36" s="7" t="s">
        <v>10</v>
      </c>
      <c r="E36" s="7" t="s">
        <v>11</v>
      </c>
      <c r="F36" s="7" t="s">
        <v>11</v>
      </c>
    </row>
    <row r="37" spans="1:12">
      <c r="A37" s="2" t="s">
        <v>39</v>
      </c>
      <c r="D37" s="18">
        <f>D16+D30</f>
        <v>448.57500000000005</v>
      </c>
      <c r="E37" s="18">
        <f>E16+D30</f>
        <v>33.575000000000045</v>
      </c>
      <c r="F37" s="18">
        <f>F16+D30</f>
        <v>253.57500000000005</v>
      </c>
      <c r="G37" s="4" t="s">
        <v>12</v>
      </c>
    </row>
    <row r="38" spans="1:12" ht="15.75" customHeight="1">
      <c r="A38" s="2" t="s">
        <v>40</v>
      </c>
      <c r="D38" s="19">
        <f>(D37/D31)+(D17/D32)+(D18/D33)</f>
        <v>56.202674897119337</v>
      </c>
      <c r="E38" s="19">
        <f>(E37/D31)+(E17/D32)+(E18/D33)</f>
        <v>6.7513717421124877</v>
      </c>
      <c r="F38" s="19">
        <f>(F37/D31)+(F17/D32)+(F18/D33)</f>
        <v>33.911865569272983</v>
      </c>
      <c r="G38" s="4" t="s">
        <v>4</v>
      </c>
    </row>
    <row r="39" spans="1:12" ht="15.75" customHeight="1">
      <c r="A39" s="2" t="s">
        <v>41</v>
      </c>
      <c r="D39" s="18">
        <f>(D37/D31)-(D17/D32)-(D18/D33)</f>
        <v>54.556584362139915</v>
      </c>
      <c r="E39" s="18">
        <f>(E37/D31)-(E17/D32)-(E18/D33)</f>
        <v>1.5387517146776462</v>
      </c>
      <c r="F39" s="18">
        <f>(F37/D31)-(F17/D32)-(F18/D33)</f>
        <v>28.699245541838135</v>
      </c>
      <c r="G39" s="4" t="s">
        <v>4</v>
      </c>
    </row>
    <row r="40" spans="1:12" ht="14.25" customHeight="1">
      <c r="A40" s="2" t="s">
        <v>42</v>
      </c>
      <c r="D40" s="18">
        <f>IF(D39&lt;0, D37*2/(#REF!*D22),D38)</f>
        <v>56.202674897119337</v>
      </c>
      <c r="E40" s="18">
        <f>IF(E39&lt;0, E37*2/(#REF!*D22),E38)</f>
        <v>6.7513717421124877</v>
      </c>
      <c r="F40" s="18">
        <f>IF(F39&lt;0, F37*2/(#REF!*D22),F38)</f>
        <v>33.911865569272983</v>
      </c>
      <c r="G40" s="4" t="s">
        <v>4</v>
      </c>
    </row>
    <row r="41" spans="1:12" ht="14.25" customHeight="1">
      <c r="A41" s="2" t="s">
        <v>43</v>
      </c>
      <c r="D41" s="18">
        <f>IF(D39&lt;0, D37*2/(#REF!*D21),D38)</f>
        <v>56.202674897119337</v>
      </c>
      <c r="E41" s="18">
        <f>IF(E39&lt;0, E37*2/(#REF!*D21),E38)</f>
        <v>6.7513717421124877</v>
      </c>
      <c r="F41" s="18">
        <f>IF(F39&lt;0, F37*2/(#REF!*D21),F38)</f>
        <v>33.911865569272983</v>
      </c>
      <c r="G41" s="4" t="s">
        <v>4</v>
      </c>
    </row>
    <row r="42" spans="1:12" ht="14.25" customHeight="1">
      <c r="A42" s="2" t="s">
        <v>44</v>
      </c>
      <c r="D42" s="18">
        <f>IF(D39&lt;0,D40+D41,D38)</f>
        <v>56.202674897119337</v>
      </c>
      <c r="E42" s="18">
        <f>IF(E39&lt;0,E40+E41,E38)</f>
        <v>6.7513717421124877</v>
      </c>
      <c r="F42" s="18">
        <f>IF(F39&lt;0,F40+F41,F38)</f>
        <v>33.911865569272983</v>
      </c>
      <c r="G42" s="4" t="s">
        <v>4</v>
      </c>
    </row>
    <row r="43" spans="1:12" ht="15" customHeight="1">
      <c r="A43" s="2" t="s">
        <v>45</v>
      </c>
      <c r="D43" s="20">
        <f>G5</f>
        <v>150</v>
      </c>
      <c r="E43" s="18">
        <f>G5*I44+G5</f>
        <v>187.5</v>
      </c>
      <c r="F43" s="18">
        <f>G5*I44+G5</f>
        <v>187.5</v>
      </c>
      <c r="G43" s="4" t="s">
        <v>4</v>
      </c>
    </row>
    <row r="44" spans="1:12" ht="13.5" customHeight="1">
      <c r="A44" s="2" t="s">
        <v>46</v>
      </c>
      <c r="D44" s="21" t="str">
        <f>IF(D43&gt;D42,"Safe ","Unsafe")</f>
        <v xml:space="preserve">Safe </v>
      </c>
      <c r="E44" s="21" t="str">
        <f>IF(E43&gt;E42,"Safe ","Unsafe")</f>
        <v xml:space="preserve">Safe </v>
      </c>
      <c r="F44" s="21" t="str">
        <f>IF(F43&gt;F42,"Safe ","Unsafe")</f>
        <v xml:space="preserve">Safe </v>
      </c>
      <c r="G44" s="2" t="s">
        <v>103</v>
      </c>
      <c r="I44" s="22">
        <v>0.25</v>
      </c>
    </row>
    <row r="45" spans="1:12" ht="12.75" customHeight="1">
      <c r="A45" s="1"/>
      <c r="D45" s="23"/>
      <c r="E45" s="1"/>
      <c r="F45" s="24"/>
    </row>
    <row r="46" spans="1:12" ht="13.5" customHeight="1">
      <c r="A46" s="1" t="s">
        <v>47</v>
      </c>
      <c r="D46" s="23"/>
      <c r="E46" s="1"/>
      <c r="F46" s="1"/>
    </row>
    <row r="47" spans="1:12">
      <c r="A47" s="1"/>
      <c r="D47" s="7" t="s">
        <v>10</v>
      </c>
      <c r="E47" s="7" t="s">
        <v>11</v>
      </c>
      <c r="F47" s="7" t="s">
        <v>11</v>
      </c>
    </row>
    <row r="48" spans="1:12">
      <c r="A48" s="4" t="s">
        <v>48</v>
      </c>
      <c r="D48" s="9">
        <v>1.5</v>
      </c>
      <c r="E48" s="9">
        <v>1.5</v>
      </c>
      <c r="F48" s="9">
        <v>1.5</v>
      </c>
      <c r="G48" s="4" t="s">
        <v>12</v>
      </c>
    </row>
    <row r="49" spans="1:13" ht="16.5" customHeight="1">
      <c r="A49" s="2" t="s">
        <v>49</v>
      </c>
      <c r="D49" s="25">
        <f>D13*D48/D21/D22</f>
        <v>2.7777777777777772</v>
      </c>
      <c r="E49" s="25">
        <f>E42*E48</f>
        <v>10.127057613168731</v>
      </c>
      <c r="F49" s="25">
        <f>F42*F48</f>
        <v>50.867798353909478</v>
      </c>
      <c r="G49" s="1" t="s">
        <v>4</v>
      </c>
    </row>
    <row r="50" spans="1:13" ht="14.25" customHeight="1">
      <c r="A50" s="2" t="s">
        <v>50</v>
      </c>
      <c r="D50" s="23"/>
      <c r="E50" s="1"/>
      <c r="F50" s="19">
        <f>MAX(D49,E49,F49)</f>
        <v>50.867798353909478</v>
      </c>
      <c r="G50" s="8" t="s">
        <v>4</v>
      </c>
    </row>
    <row r="51" spans="1:13">
      <c r="A51" s="2" t="s">
        <v>51</v>
      </c>
      <c r="D51" s="23"/>
      <c r="E51" s="1"/>
      <c r="F51" s="1"/>
    </row>
    <row r="52" spans="1:13">
      <c r="D52" s="23"/>
      <c r="E52" s="1"/>
      <c r="F52" s="1"/>
    </row>
    <row r="53" spans="1:13">
      <c r="A53" s="1" t="s">
        <v>52</v>
      </c>
    </row>
    <row r="54" spans="1:13" ht="14.25">
      <c r="A54" s="26" t="s">
        <v>53</v>
      </c>
      <c r="B54" s="27"/>
      <c r="C54" s="27"/>
      <c r="D54" s="27"/>
      <c r="E54" s="28">
        <f>F50*D22*((D21-D8/1000)/2)^2/2</f>
        <v>42.919704861111143</v>
      </c>
      <c r="F54" s="29" t="s">
        <v>54</v>
      </c>
      <c r="G54" s="27"/>
      <c r="H54" s="27"/>
    </row>
    <row r="55" spans="1:13" ht="13.5" customHeight="1">
      <c r="A55" s="30"/>
      <c r="B55" s="27"/>
      <c r="C55" s="27"/>
      <c r="D55" s="27"/>
      <c r="E55" s="31" t="s">
        <v>55</v>
      </c>
      <c r="F55" s="28">
        <f>0.138*G3*D22*1000*F59^2/1000000</f>
        <v>715.69008000000008</v>
      </c>
      <c r="G55" s="29" t="s">
        <v>14</v>
      </c>
      <c r="H55" s="27"/>
    </row>
    <row r="56" spans="1:13" ht="13.5" customHeight="1">
      <c r="A56" s="30"/>
      <c r="B56" s="27"/>
      <c r="C56" s="27"/>
      <c r="D56" s="27"/>
      <c r="E56" s="32" t="str">
        <f>IF(E54&lt;=F55,"The section is singly reinforced","The section is doubly reinforced and this spread sheet can't design for doubly renforced section")</f>
        <v>The section is singly reinforced</v>
      </c>
      <c r="F56" s="33"/>
      <c r="G56" s="34"/>
      <c r="H56" s="27"/>
    </row>
    <row r="57" spans="1:13" ht="13.5" customHeight="1">
      <c r="A57" s="30"/>
      <c r="B57" s="27"/>
      <c r="C57" s="27"/>
      <c r="D57" s="27"/>
      <c r="E57" s="28"/>
      <c r="F57" s="35"/>
      <c r="G57" s="27"/>
      <c r="H57" s="27"/>
    </row>
    <row r="58" spans="1:13">
      <c r="A58" s="30"/>
      <c r="B58" s="27"/>
      <c r="C58" s="27"/>
      <c r="D58" s="27"/>
      <c r="E58" s="28"/>
      <c r="F58" s="35"/>
      <c r="G58" s="27"/>
      <c r="H58" s="27"/>
    </row>
    <row r="59" spans="1:13" ht="14.25" customHeight="1">
      <c r="A59" s="35" t="s">
        <v>56</v>
      </c>
      <c r="B59" s="27"/>
      <c r="C59" s="27"/>
      <c r="D59" s="27"/>
      <c r="E59" s="28"/>
      <c r="F59" s="36">
        <f>D23-D26-D27/2</f>
        <v>294</v>
      </c>
      <c r="G59" s="27" t="s">
        <v>7</v>
      </c>
      <c r="H59" s="27"/>
    </row>
    <row r="60" spans="1:13" ht="14.25">
      <c r="A60" s="37" t="s">
        <v>57</v>
      </c>
      <c r="B60" s="36">
        <f>(0.5*G3*D22*1000*F59/G4)*(1-SQRT(1-(4.6*E54*10^6/(G3*D22*1000*F59^2))))</f>
        <v>339.02426282455838</v>
      </c>
      <c r="C60" s="27" t="s">
        <v>58</v>
      </c>
      <c r="D60" s="27"/>
      <c r="E60" s="27"/>
      <c r="F60" s="27"/>
      <c r="G60" s="27"/>
      <c r="H60" s="27"/>
    </row>
    <row r="61" spans="1:13">
      <c r="A61" s="37" t="s">
        <v>59</v>
      </c>
      <c r="B61" s="37"/>
      <c r="C61" s="38">
        <f>1000*(PI()*(D27/2)^2)*D22/B60</f>
        <v>1000.7897480873746</v>
      </c>
      <c r="D61" s="27" t="s">
        <v>60</v>
      </c>
      <c r="E61" s="27"/>
      <c r="F61" s="27"/>
      <c r="G61" s="27"/>
      <c r="H61" s="27"/>
      <c r="I61" s="27"/>
    </row>
    <row r="62" spans="1:13">
      <c r="A62" s="2" t="s">
        <v>61</v>
      </c>
      <c r="C62" s="5">
        <v>200</v>
      </c>
      <c r="D62" s="2" t="s">
        <v>7</v>
      </c>
      <c r="F62" s="39"/>
      <c r="G62" s="28"/>
      <c r="H62" s="40"/>
      <c r="I62" s="27"/>
      <c r="J62" s="27"/>
      <c r="K62" s="27"/>
      <c r="L62" s="27"/>
      <c r="M62" s="41"/>
    </row>
    <row r="63" spans="1:13">
      <c r="A63" s="27" t="str">
        <f>CONCATENATE("Hence provide ",D27," mm dia bar @ ",TRUNC(C62,0)," mm c/c parellel to length of footing ( || to Z)")</f>
        <v>Hence provide 12 mm dia bar @ 200 mm c/c parellel to length of footing ( || to Z)</v>
      </c>
      <c r="B63" s="27"/>
      <c r="C63" s="27"/>
      <c r="D63" s="27"/>
      <c r="E63" s="42"/>
      <c r="F63" s="27"/>
      <c r="G63" s="27"/>
      <c r="H63" s="27"/>
    </row>
    <row r="64" spans="1:13">
      <c r="A64" s="27"/>
      <c r="B64" s="27"/>
      <c r="C64" s="27"/>
      <c r="D64" s="27"/>
      <c r="E64" s="42"/>
      <c r="F64" s="27"/>
      <c r="G64" s="27"/>
      <c r="H64" s="27"/>
    </row>
    <row r="65" spans="1:14" ht="14.25">
      <c r="A65" s="29" t="s">
        <v>62</v>
      </c>
      <c r="B65" s="27"/>
      <c r="C65" s="27"/>
      <c r="D65" s="27"/>
      <c r="E65" s="28">
        <f>F50*D21*((D22-D9/1000)/2)^2/2</f>
        <v>38.62773437500001</v>
      </c>
      <c r="F65" s="29" t="s">
        <v>54</v>
      </c>
      <c r="G65" s="34" t="str">
        <f>IF(E65&lt;=F66,"The section is singly reinforced","The section is doubly reinforced and this spread sheet can't design for doubly renforced section")</f>
        <v>The section is singly reinforced</v>
      </c>
      <c r="H65" s="34"/>
    </row>
    <row r="66" spans="1:14">
      <c r="A66" s="29"/>
      <c r="B66" s="27"/>
      <c r="C66" s="27"/>
      <c r="D66" s="27"/>
      <c r="E66" s="31" t="s">
        <v>55</v>
      </c>
      <c r="F66" s="28">
        <f>0.138*G3*D21*1000*F59^2/1000000</f>
        <v>644.12107200000014</v>
      </c>
      <c r="G66" s="29" t="s">
        <v>63</v>
      </c>
      <c r="H66" s="27"/>
    </row>
    <row r="67" spans="1:14">
      <c r="A67" s="43" t="s">
        <v>56</v>
      </c>
      <c r="B67" s="27"/>
      <c r="C67" s="27"/>
      <c r="D67" s="27"/>
      <c r="E67" s="28"/>
      <c r="F67" s="36">
        <f>F59</f>
        <v>294</v>
      </c>
      <c r="G67" s="27" t="s">
        <v>7</v>
      </c>
      <c r="H67" s="27"/>
    </row>
    <row r="68" spans="1:14" ht="14.25">
      <c r="A68" s="37" t="s">
        <v>64</v>
      </c>
      <c r="B68" s="36">
        <f>(0.5*G3*D21*1000*F67/G4)*(1-SQRT(1-(4.6*E65*10^6/(G3*D21*1000*F67^2))))</f>
        <v>305.12183654210253</v>
      </c>
      <c r="C68" s="27" t="s">
        <v>58</v>
      </c>
      <c r="D68" s="27"/>
      <c r="E68" s="27"/>
      <c r="F68" s="27"/>
      <c r="G68" s="27"/>
      <c r="H68" s="27"/>
      <c r="I68" s="1"/>
    </row>
    <row r="69" spans="1:14">
      <c r="A69" s="37" t="s">
        <v>59</v>
      </c>
      <c r="B69" s="37"/>
      <c r="C69" s="38">
        <f>1000*(PI()*(D27/2)^2)*D21/B68</f>
        <v>1000.7897480873747</v>
      </c>
      <c r="D69" s="27" t="s">
        <v>60</v>
      </c>
      <c r="E69" s="27"/>
      <c r="F69" s="27"/>
      <c r="G69" s="27"/>
      <c r="H69" s="27"/>
      <c r="I69" s="27"/>
      <c r="J69" s="27"/>
      <c r="K69" s="1"/>
    </row>
    <row r="70" spans="1:14">
      <c r="A70" s="2" t="s">
        <v>61</v>
      </c>
      <c r="C70" s="5">
        <v>200</v>
      </c>
      <c r="D70" s="2" t="s">
        <v>7</v>
      </c>
      <c r="F70" s="39"/>
      <c r="G70" s="44"/>
      <c r="H70" s="27"/>
      <c r="I70" s="27"/>
      <c r="J70" s="27"/>
      <c r="K70" s="27"/>
      <c r="L70" s="27"/>
      <c r="M70" s="41"/>
      <c r="N70" s="1"/>
    </row>
    <row r="71" spans="1:14">
      <c r="A71" s="27" t="str">
        <f>CONCATENATE("Hence provide ",D27," mm dia bar @ ",TRUNC(C70,0)," mm c/c parellel to breadth of footing ( || to X)")</f>
        <v>Hence provide 12 mm dia bar @ 200 mm c/c parellel to breadth of footing ( || to X)</v>
      </c>
      <c r="B71" s="27"/>
      <c r="C71" s="27"/>
      <c r="D71" s="27"/>
      <c r="E71" s="42"/>
      <c r="F71" s="27"/>
      <c r="G71" s="27"/>
      <c r="H71" s="27"/>
      <c r="I71" s="1"/>
    </row>
    <row r="72" spans="1:14">
      <c r="A72" s="27"/>
      <c r="B72" s="27"/>
      <c r="C72" s="27"/>
      <c r="D72" s="27"/>
      <c r="E72" s="42"/>
      <c r="F72" s="27"/>
      <c r="G72" s="27"/>
      <c r="H72" s="27"/>
      <c r="I72" s="1"/>
    </row>
    <row r="73" spans="1:14" ht="15.75" customHeight="1">
      <c r="A73" s="45" t="s">
        <v>65</v>
      </c>
      <c r="B73" s="46"/>
      <c r="C73" s="46"/>
    </row>
    <row r="74" spans="1:14" ht="13.5" customHeight="1">
      <c r="A74" s="1" t="s">
        <v>66</v>
      </c>
    </row>
    <row r="75" spans="1:14" ht="14.25" customHeight="1">
      <c r="A75" s="4" t="s">
        <v>67</v>
      </c>
      <c r="F75" s="47">
        <f>D28-D28*(D23-D24)/(0.5*(D21*1000-D8))</f>
        <v>294</v>
      </c>
      <c r="G75" s="2" t="s">
        <v>7</v>
      </c>
    </row>
    <row r="76" spans="1:14" ht="15" customHeight="1">
      <c r="A76" s="4" t="s">
        <v>68</v>
      </c>
      <c r="F76" s="4">
        <f>((D21*1000/2)-(D8/2)-D28)/1000</f>
        <v>0.45600000000000002</v>
      </c>
      <c r="G76" s="2" t="s">
        <v>18</v>
      </c>
    </row>
    <row r="77" spans="1:14" s="4" customFormat="1" ht="15" customHeight="1">
      <c r="A77" s="4" t="s">
        <v>69</v>
      </c>
      <c r="F77" s="4">
        <f>D22-(2*F85)</f>
        <v>2.0880000000000001</v>
      </c>
      <c r="G77" s="4" t="s">
        <v>18</v>
      </c>
    </row>
    <row r="78" spans="1:14">
      <c r="A78" s="2" t="str">
        <f>CONCATENATE("Shear force   Vs =pe max x ",F76," x width of footing = ")</f>
        <v xml:space="preserve">Shear force   Vs =pe max x 0.456 x width of footing = </v>
      </c>
      <c r="D78" s="2" t="s">
        <v>70</v>
      </c>
      <c r="E78" s="2" t="s">
        <v>71</v>
      </c>
      <c r="F78" s="48">
        <f>F50*F76*D22</f>
        <v>69.587148148148174</v>
      </c>
      <c r="G78" s="11" t="s">
        <v>12</v>
      </c>
    </row>
    <row r="79" spans="1:14">
      <c r="A79" s="2" t="s">
        <v>72</v>
      </c>
      <c r="D79" s="17">
        <f>((PI()*POWER(D27/2,2)*D22*1000/C62)/(D22*1000*F75))*100</f>
        <v>0.19234240736264038</v>
      </c>
      <c r="E79" s="2" t="s">
        <v>73</v>
      </c>
      <c r="F79" s="49"/>
      <c r="G79" s="11"/>
    </row>
    <row r="80" spans="1:14" ht="16.5">
      <c r="A80" s="2" t="s">
        <v>74</v>
      </c>
      <c r="B80" s="50" t="s">
        <v>75</v>
      </c>
      <c r="C80" s="50"/>
      <c r="D80" s="50"/>
      <c r="E80" s="51">
        <f>F78*1000/(((F75*F77*1000)+((D22*1000-F77*1000)*(F75+D29)/2)))</f>
        <v>7.8896993365247359E-2</v>
      </c>
      <c r="F80" s="4" t="s">
        <v>2</v>
      </c>
      <c r="G80" s="4"/>
      <c r="H80" s="52"/>
    </row>
    <row r="81" spans="1:7" ht="16.5">
      <c r="A81" s="52" t="s">
        <v>76</v>
      </c>
      <c r="B81" s="52"/>
      <c r="C81" s="48">
        <f>(0.85*SQRT(0.8*G3)*(SQRT(1+5*(IF((0.8*G3/(6.89*D79))&lt;1,1,(0.8*G3/(6.89*D79))))) -1))/(6*(IF((0.8*G3/(6.89*D79))&lt;1,1,(0.8*G3/(6.89*D79)))))</f>
        <v>0.32074231731886221</v>
      </c>
      <c r="D81" s="4" t="s">
        <v>2</v>
      </c>
      <c r="E81" s="1"/>
      <c r="F81" s="1"/>
    </row>
    <row r="82" spans="1:7" ht="15.75">
      <c r="A82" s="53" t="str">
        <f>IF(E80&gt;C81,"tv &gt; tc hence Unsafe","tv &lt; tc hence O.K.")</f>
        <v>tv &lt; tc hence O.K.</v>
      </c>
      <c r="B82" s="54"/>
      <c r="D82" s="55"/>
    </row>
    <row r="83" spans="1:7">
      <c r="A83" s="1" t="s">
        <v>77</v>
      </c>
    </row>
    <row r="84" spans="1:7">
      <c r="A84" s="4" t="s">
        <v>78</v>
      </c>
      <c r="F84" s="47">
        <f>D28-D28*(D23-D24)/(0.5*(D22*1000-D9))</f>
        <v>294</v>
      </c>
      <c r="G84" s="2" t="s">
        <v>7</v>
      </c>
    </row>
    <row r="85" spans="1:7">
      <c r="A85" s="4" t="s">
        <v>79</v>
      </c>
      <c r="F85" s="1">
        <f>((D22*1000/2)-(D9/2)-D28)/1000</f>
        <v>0.45600000000000002</v>
      </c>
      <c r="G85" s="2" t="s">
        <v>18</v>
      </c>
    </row>
    <row r="86" spans="1:7" s="4" customFormat="1">
      <c r="A86" s="4" t="s">
        <v>80</v>
      </c>
      <c r="F86" s="4">
        <f>D21-(2*F76)</f>
        <v>1.7880000000000003</v>
      </c>
      <c r="G86" s="4" t="s">
        <v>18</v>
      </c>
    </row>
    <row r="87" spans="1:7">
      <c r="A87" s="2" t="str">
        <f>CONCATENATE("Shear force   Vs =pe max x ",F85," x  width of footing = ")</f>
        <v xml:space="preserve">Shear force   Vs =pe max x 0.456 x  width of footing = </v>
      </c>
      <c r="F87" s="48">
        <f>F50*F85*D21</f>
        <v>62.628433333333362</v>
      </c>
      <c r="G87" s="11" t="s">
        <v>12</v>
      </c>
    </row>
    <row r="88" spans="1:7">
      <c r="A88" s="2" t="s">
        <v>72</v>
      </c>
      <c r="D88" s="17">
        <f>((PI()*POWER(D27/2,2)*D21*1000/C70)/(D21*1000*F84))*100</f>
        <v>0.19234240736264041</v>
      </c>
      <c r="E88" s="2" t="s">
        <v>73</v>
      </c>
      <c r="F88" s="49"/>
      <c r="G88" s="11"/>
    </row>
    <row r="89" spans="1:7" ht="16.5">
      <c r="A89" s="2" t="s">
        <v>74</v>
      </c>
      <c r="B89" s="50" t="s">
        <v>81</v>
      </c>
      <c r="C89" s="50"/>
      <c r="D89" s="50"/>
      <c r="E89" s="49">
        <f>F87*1000/(((F84*F86*1000)+((D21*1000-F86*1000)*(F84+D29)/2)))</f>
        <v>7.8896993365247373E-2</v>
      </c>
      <c r="F89" s="4" t="s">
        <v>2</v>
      </c>
      <c r="G89" s="52"/>
    </row>
    <row r="90" spans="1:7" ht="16.5">
      <c r="A90" s="52" t="s">
        <v>76</v>
      </c>
      <c r="B90" s="48">
        <f>(0.85*SQRT(0.8*G3)*(SQRT(1+5*(IF((0.8*G3/(6.89*D88))&lt;1,1,(0.8*G3/(6.89*D88))))) -1))/(6*(IF((0.8*G3/(6.89*D88))&lt;1,1,(0.8*G3/(6.89*D88)))))</f>
        <v>0.32074231731886227</v>
      </c>
      <c r="C90" s="4" t="s">
        <v>2</v>
      </c>
      <c r="D90" s="55"/>
    </row>
    <row r="91" spans="1:7" ht="15.75">
      <c r="A91" s="53" t="str">
        <f>IF(E89&gt;B90,"tv &gt; tc hence Unsafe","tv &lt; tc hence O.K.")</f>
        <v>tv &lt; tc hence O.K.</v>
      </c>
      <c r="B91" s="54"/>
      <c r="D91" s="55"/>
    </row>
    <row r="92" spans="1:7" ht="15.75">
      <c r="A92" s="50"/>
      <c r="B92" s="52"/>
      <c r="C92" s="56"/>
      <c r="D92" s="55"/>
    </row>
    <row r="93" spans="1:7">
      <c r="A93" s="1" t="s">
        <v>82</v>
      </c>
    </row>
    <row r="94" spans="1:7">
      <c r="A94" s="1" t="s">
        <v>83</v>
      </c>
    </row>
    <row r="95" spans="1:7" ht="16.5">
      <c r="A95" s="2" t="s">
        <v>84</v>
      </c>
      <c r="D95" s="2" t="s">
        <v>85</v>
      </c>
    </row>
    <row r="96" spans="1:7" ht="15.75">
      <c r="A96" s="2" t="s">
        <v>86</v>
      </c>
      <c r="C96" s="1">
        <f>0.5+D8/D9</f>
        <v>1.3</v>
      </c>
      <c r="D96" s="2" t="str">
        <f>IF(C96&lt;1,"&lt;1","&gt;1")</f>
        <v>&gt;1</v>
      </c>
      <c r="E96" s="1"/>
    </row>
    <row r="97" spans="1:8" ht="15.75">
      <c r="A97" s="2" t="s">
        <v>87</v>
      </c>
      <c r="C97" s="23">
        <f>IF(C96&gt;1,1,C96)</f>
        <v>1</v>
      </c>
      <c r="D97" s="1"/>
    </row>
    <row r="98" spans="1:8" ht="16.5">
      <c r="A98" s="52" t="s">
        <v>88</v>
      </c>
      <c r="C98" s="1">
        <f>0.25*(G3)^0.5</f>
        <v>1.1180339887498949</v>
      </c>
      <c r="D98" s="4" t="s">
        <v>2</v>
      </c>
    </row>
    <row r="99" spans="1:8" ht="16.5">
      <c r="A99" s="52" t="s">
        <v>89</v>
      </c>
      <c r="C99" s="1">
        <f>C97*C98</f>
        <v>1.1180339887498949</v>
      </c>
      <c r="D99" s="4" t="s">
        <v>2</v>
      </c>
    </row>
    <row r="100" spans="1:8">
      <c r="A100" s="4" t="s">
        <v>90</v>
      </c>
      <c r="C100" s="1"/>
      <c r="D100" s="4"/>
      <c r="F100" s="17">
        <f>D28-0.5*D28*(D23-D24)/(0.5*(D21*1000-D8))</f>
        <v>294</v>
      </c>
      <c r="G100" s="2" t="s">
        <v>7</v>
      </c>
    </row>
    <row r="101" spans="1:8">
      <c r="A101" s="4" t="s">
        <v>91</v>
      </c>
      <c r="C101" s="1"/>
      <c r="D101" s="4"/>
      <c r="E101" s="2">
        <f>D8+D28</f>
        <v>1494</v>
      </c>
      <c r="F101" s="2" t="s">
        <v>7</v>
      </c>
      <c r="G101" s="2">
        <f>D9+D28</f>
        <v>1794</v>
      </c>
      <c r="H101" s="2" t="s">
        <v>7</v>
      </c>
    </row>
    <row r="102" spans="1:8">
      <c r="A102" s="2" t="str">
        <f>CONCATENATE("Shear force   Vs = ",TRUNC(F50,3)," ( ",D21," x ",D22," - ",E101/1000," x ",G101/1000,") = ")</f>
        <v xml:space="preserve">Shear force   Vs = 50.867 ( 2.7 x 3 - 1.494 x 1.794) = </v>
      </c>
      <c r="F102" s="48">
        <f>F50*(D21*D22-(E101/1000)*(G101/1000))</f>
        <v>275.69146227777793</v>
      </c>
      <c r="G102" s="4" t="s">
        <v>12</v>
      </c>
    </row>
    <row r="103" spans="1:8">
      <c r="A103" s="2" t="str">
        <f>CONCATENATE("Length of critical section = 2 x ","( ",E101," + ",G101,") = ")</f>
        <v xml:space="preserve">Length of critical section = 2 x ( 1494 + 1794) = </v>
      </c>
      <c r="D103" s="1"/>
      <c r="E103" s="1"/>
      <c r="F103" s="1">
        <f>2*(E101+G101)</f>
        <v>6576</v>
      </c>
      <c r="G103" s="4" t="s">
        <v>7</v>
      </c>
    </row>
    <row r="104" spans="1:8" ht="14.25">
      <c r="A104" s="2" t="s">
        <v>92</v>
      </c>
      <c r="D104" s="1"/>
      <c r="F104" s="1">
        <f>F103*F100</f>
        <v>1933344</v>
      </c>
      <c r="G104" s="4" t="s">
        <v>58</v>
      </c>
    </row>
    <row r="105" spans="1:8" ht="16.5">
      <c r="A105" s="2" t="s">
        <v>93</v>
      </c>
      <c r="B105" s="50"/>
      <c r="C105" s="49">
        <f>F102*1000/F104</f>
        <v>0.14259824546370328</v>
      </c>
      <c r="D105" s="4" t="s">
        <v>2</v>
      </c>
    </row>
    <row r="106" spans="1:8">
      <c r="A106" s="53" t="str">
        <f>IF(C105&gt;C99,"tv &gt; tc hence Unsafe increase depth of footing","tv &lt; allowable hence O.K.")</f>
        <v>tv &lt; allowable hence O.K.</v>
      </c>
      <c r="B106" s="54"/>
    </row>
    <row r="107" spans="1:8">
      <c r="A107" s="54"/>
      <c r="B107" s="54"/>
    </row>
    <row r="109" spans="1:8">
      <c r="C109" s="1"/>
      <c r="D109" s="1"/>
    </row>
    <row r="115" spans="1:5">
      <c r="A115" s="1"/>
    </row>
    <row r="117" spans="1:5">
      <c r="A117" s="1"/>
      <c r="D117" s="23"/>
      <c r="E117" s="1"/>
    </row>
    <row r="118" spans="1:5">
      <c r="A118" s="1"/>
      <c r="D118" s="23"/>
      <c r="E118" s="57"/>
    </row>
    <row r="119" spans="1:5">
      <c r="D119" s="23"/>
      <c r="E119" s="1"/>
    </row>
    <row r="120" spans="1:5">
      <c r="D120" s="23"/>
      <c r="E120" s="1"/>
    </row>
    <row r="121" spans="1:5">
      <c r="D121" s="23"/>
      <c r="E121" s="1"/>
    </row>
    <row r="122" spans="1:5">
      <c r="D122" s="23"/>
      <c r="E122" s="1"/>
    </row>
    <row r="123" spans="1:5">
      <c r="D123" s="23"/>
      <c r="E123" s="1"/>
    </row>
  </sheetData>
  <pageMargins left="0.75" right="0.75" top="1" bottom="1" header="0.5" footer="0.5"/>
  <pageSetup paperSize="9" scale="77" orientation="portrait" r:id="rId1"/>
  <headerFooter alignWithMargins="0">
    <oddFooter>&amp;L&amp;F</oddFooter>
  </headerFooter>
  <rowBreaks count="1" manualBreakCount="1">
    <brk id="64" max="8" man="1"/>
  </rowBreaks>
  <drawing r:id="rId2"/>
  <legacyDrawing r:id="rId3"/>
  <oleObjects>
    <oleObject progId="Equation.3" shapeId="17409" r:id="rId4"/>
    <oleObject progId="Equation.3" shapeId="1741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FOOTING 165</vt:lpstr>
      <vt:lpstr>FOOTING 165 (2)</vt:lpstr>
      <vt:lpstr>'FOOTING 165'!Print_Area</vt:lpstr>
      <vt:lpstr>'FOOTING 165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cp:lastPrinted>2015-09-06T13:15:56Z</cp:lastPrinted>
  <dcterms:created xsi:type="dcterms:W3CDTF">2015-09-06T08:07:41Z</dcterms:created>
  <dcterms:modified xsi:type="dcterms:W3CDTF">2015-10-09T08:58:41Z</dcterms:modified>
</cp:coreProperties>
</file>