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0" i="1"/>
  <c r="C99"/>
  <c r="C98"/>
  <c r="C75"/>
  <c r="C53"/>
  <c r="C61"/>
  <c r="E69"/>
  <c r="C57"/>
  <c r="C55"/>
  <c r="L51"/>
  <c r="E37"/>
  <c r="D37"/>
  <c r="C37"/>
  <c r="C36"/>
  <c r="E36"/>
  <c r="D36"/>
  <c r="D47"/>
  <c r="C47"/>
  <c r="E41"/>
  <c r="D41"/>
  <c r="C41"/>
  <c r="C28"/>
  <c r="C27"/>
  <c r="C26"/>
  <c r="C29"/>
  <c r="E14"/>
  <c r="D14"/>
  <c r="C14"/>
  <c r="E13"/>
  <c r="D13"/>
  <c r="C13"/>
  <c r="E12"/>
  <c r="D12"/>
  <c r="C12"/>
  <c r="C52"/>
  <c r="E47"/>
  <c r="C35" l="1"/>
  <c r="E35"/>
  <c r="D35"/>
</calcChain>
</file>

<file path=xl/sharedStrings.xml><?xml version="1.0" encoding="utf-8"?>
<sst xmlns="http://schemas.openxmlformats.org/spreadsheetml/2006/main" count="225" uniqueCount="108">
  <si>
    <t>GIVEN DATA :-</t>
  </si>
  <si>
    <t>Soil Density</t>
  </si>
  <si>
    <t>=</t>
  </si>
  <si>
    <t>KN/m^2</t>
  </si>
  <si>
    <t>GROSS SBC of soil</t>
  </si>
  <si>
    <t>N/mm^2</t>
  </si>
  <si>
    <t>Grade of Concrete fck</t>
  </si>
  <si>
    <t>Grade of Steel  fy</t>
  </si>
  <si>
    <t>Height of Pedestal</t>
  </si>
  <si>
    <t>m</t>
  </si>
  <si>
    <t>Length of Pedestal</t>
  </si>
  <si>
    <t>Breadth of Pedestal</t>
  </si>
  <si>
    <t>LOADS (WORKING)</t>
  </si>
  <si>
    <t xml:space="preserve">    (DL)</t>
  </si>
  <si>
    <t xml:space="preserve"> (DL+WQ)</t>
  </si>
  <si>
    <t>KN</t>
  </si>
  <si>
    <t>Self Weight of Pedestal</t>
  </si>
  <si>
    <t>Weight of Earthfill on Foundation</t>
  </si>
  <si>
    <t>Total Axial Load (P1)</t>
  </si>
  <si>
    <t>Moment about Z axis (Mz)</t>
  </si>
  <si>
    <t>KN-m</t>
  </si>
  <si>
    <t>Moment about X axis (Mx)</t>
  </si>
  <si>
    <t>FOOTING</t>
  </si>
  <si>
    <t>Foot Length(L,dim. Parallel to Z axis)</t>
  </si>
  <si>
    <t>Foot Breadth(B,dim. Parallel to X axis)</t>
  </si>
  <si>
    <t>mm</t>
  </si>
  <si>
    <t>Thickness of footing (D)</t>
  </si>
  <si>
    <t>Thickness of footing at edge(t)</t>
  </si>
  <si>
    <t>sloping depth</t>
  </si>
  <si>
    <t>Clear cover of footing</t>
  </si>
  <si>
    <t>Main bar dia of footing</t>
  </si>
  <si>
    <t>Effective depth of footing(d)</t>
  </si>
  <si>
    <t>Effective thickness at edge (ti)</t>
  </si>
  <si>
    <t>Area of Footing (A)</t>
  </si>
  <si>
    <t>m^2</t>
  </si>
  <si>
    <t>m^3</t>
  </si>
  <si>
    <t>CHECK FOR BEARING PRESSURE</t>
  </si>
  <si>
    <t xml:space="preserve"> (DL+LL)</t>
  </si>
  <si>
    <t>(DL+EQ)</t>
  </si>
  <si>
    <t>P = (P1+foot self weight)</t>
  </si>
  <si>
    <t>Self weight of footing</t>
  </si>
  <si>
    <t>Max bearing Pressure</t>
  </si>
  <si>
    <t>Min bearing Pressure</t>
  </si>
  <si>
    <t>Max. Total Base pressure p max</t>
  </si>
  <si>
    <t>Hence footing is</t>
  </si>
  <si>
    <t xml:space="preserve">    Safe</t>
  </si>
  <si>
    <t>For WIND load increasing SBC b25%</t>
  </si>
  <si>
    <t>DESIGN FORCES</t>
  </si>
  <si>
    <t xml:space="preserve">  (DL+EQ)</t>
  </si>
  <si>
    <t>Load Factor</t>
  </si>
  <si>
    <t>Factored upward soil pressure pe</t>
  </si>
  <si>
    <t>Max.Factored effective soil pressure pe max</t>
  </si>
  <si>
    <t xml:space="preserve">                                            =</t>
  </si>
  <si>
    <t>Design of footing is done using above maximum effective upward soil pressure</t>
  </si>
  <si>
    <t>CALCULATION FOR BOTTOM STEEL</t>
  </si>
  <si>
    <t>Mu about X X= (pe max *  length^2/2)</t>
  </si>
  <si>
    <t>Mu lim =0.36fck d(0.48d)(d-0.42(0.48d))</t>
  </si>
  <si>
    <t>Xulim</t>
  </si>
  <si>
    <t>Ast</t>
  </si>
  <si>
    <t>Spacing provided</t>
  </si>
  <si>
    <t>∏</t>
  </si>
  <si>
    <t xml:space="preserve">Assume dia </t>
  </si>
  <si>
    <r>
      <t>Spacing required =(Ast /(</t>
    </r>
    <r>
      <rPr>
        <sz val="11"/>
        <color theme="1"/>
        <rFont val="Calibri"/>
        <family val="2"/>
      </rPr>
      <t>∏</t>
    </r>
    <r>
      <rPr>
        <sz val="13.2"/>
        <color theme="1"/>
        <rFont val="Calibri"/>
        <family val="2"/>
      </rPr>
      <t>/4)/d^2)</t>
    </r>
  </si>
  <si>
    <t>Mu about Z Z=( pe max * length^2/2</t>
  </si>
  <si>
    <t>CHECK FOR ONE WAY SHEAR</t>
  </si>
  <si>
    <t>One way shear at effective depth from column face parallel to x-x</t>
  </si>
  <si>
    <t>Effective depth at critical section(dc)=d-((d-t)/0.5(L-l))d</t>
  </si>
  <si>
    <t>Axial load fom STAAD output</t>
  </si>
  <si>
    <t>Concrete weight</t>
  </si>
  <si>
    <t>KN/mm^2</t>
  </si>
  <si>
    <t xml:space="preserve">Max. Base pressure </t>
  </si>
  <si>
    <t xml:space="preserve">Max.Base pressure </t>
  </si>
  <si>
    <t>mm^2</t>
  </si>
  <si>
    <t>Sec mod of footing about Z axis (Zz)</t>
  </si>
  <si>
    <t>Sec mod of footing about X axis (Zx)</t>
  </si>
  <si>
    <t>Safe GROSS bearing pressure</t>
  </si>
  <si>
    <t>N-mm</t>
  </si>
  <si>
    <t>Hence provide  12mm dia bar @        mm c/c parallel to length of footing (parallel to Z)</t>
  </si>
  <si>
    <t>EFFECTIVE DEPTH</t>
  </si>
  <si>
    <t>Spacing</t>
  </si>
  <si>
    <t>Hence provide  12mm dia bar @        mm c/c parallel to Breadth of footing (parallel to X)</t>
  </si>
  <si>
    <t>Distance of the Critical from edge of the footing(L1)=(L/2-l/2)-d</t>
  </si>
  <si>
    <t>Width of footing at this section at the top of footing=B-2*B1</t>
  </si>
  <si>
    <t>Shear Force Vs =pe max *0.451*w widthof footing</t>
  </si>
  <si>
    <t>Percentage at critical section  = 0.23 %</t>
  </si>
  <si>
    <r>
      <t xml:space="preserve">Shear Stress </t>
    </r>
    <r>
      <rPr>
        <sz val="11"/>
        <color theme="1"/>
        <rFont val="Calibri"/>
        <family val="2"/>
      </rPr>
      <t>Ʈ</t>
    </r>
    <r>
      <rPr>
        <sz val="12.1"/>
        <color theme="1"/>
        <rFont val="Calibri"/>
        <family val="2"/>
      </rPr>
      <t>v = Vs/resisting area</t>
    </r>
  </si>
  <si>
    <t>Ʈv&lt;Ʈc  , Hence OK</t>
  </si>
  <si>
    <t>One way shear at effective depth from column face parallel to z-z</t>
  </si>
  <si>
    <t>Shear Stress Ʈv = Vs/resisting area</t>
  </si>
  <si>
    <r>
      <t>Ʈ</t>
    </r>
    <r>
      <rPr>
        <sz val="12.1"/>
        <color theme="1"/>
        <rFont val="Calibri"/>
        <family val="2"/>
      </rPr>
      <t xml:space="preserve">c = </t>
    </r>
  </si>
  <si>
    <t xml:space="preserve">Ʈc = </t>
  </si>
  <si>
    <t>Distance of the Critical from edge of the footing(B1)=(B/2-b/2)-d</t>
  </si>
  <si>
    <t>Effective depth at critical section(dc)=d-((d-t)/0.5(B-b))d</t>
  </si>
  <si>
    <t>Width of footing at this section at the top of footing=L-2*L1</t>
  </si>
  <si>
    <t>Shear Force Vs =pe max *0.301*w widthof footing</t>
  </si>
  <si>
    <t>CHECK FOR TWO WAY SHEAR</t>
  </si>
  <si>
    <t>Two way shear at d/2 from col face</t>
  </si>
  <si>
    <r>
      <t xml:space="preserve">Allowable shear stress </t>
    </r>
    <r>
      <rPr>
        <sz val="11"/>
        <color theme="1"/>
        <rFont val="Calibri"/>
        <family val="2"/>
      </rPr>
      <t>Ʈ</t>
    </r>
    <r>
      <rPr>
        <sz val="12.1"/>
        <color theme="1"/>
        <rFont val="Calibri"/>
        <family val="2"/>
      </rPr>
      <t>v allowable =ksƮc</t>
    </r>
  </si>
  <si>
    <t>ks=(0.5+bc) =                       1.5&gt;1</t>
  </si>
  <si>
    <t>Hence,ks=                 1</t>
  </si>
  <si>
    <r>
      <rPr>
        <sz val="11"/>
        <color theme="1"/>
        <rFont val="Calibri"/>
        <family val="2"/>
      </rPr>
      <t>Ʈ</t>
    </r>
    <r>
      <rPr>
        <sz val="12.1"/>
        <color theme="1"/>
        <rFont val="Calibri"/>
        <family val="2"/>
      </rPr>
      <t xml:space="preserve">c = 0.25(fck)^0.5 </t>
    </r>
  </si>
  <si>
    <r>
      <rPr>
        <sz val="11"/>
        <color theme="1"/>
        <rFont val="Calibri"/>
        <family val="2"/>
      </rPr>
      <t>Ʈ</t>
    </r>
    <r>
      <rPr>
        <sz val="12.1"/>
        <color theme="1"/>
        <rFont val="Calibri"/>
        <family val="2"/>
      </rPr>
      <t xml:space="preserve">v allowable = ks*Ʈc </t>
    </r>
  </si>
  <si>
    <t>Width of the critical section = (l+d),(b+d)</t>
  </si>
  <si>
    <t>Shear Force Vs=188.615(2.75*2.45-1.524*1.524)</t>
  </si>
  <si>
    <t>length of critical Section</t>
  </si>
  <si>
    <t>Area of the critical section(length of critical sec * eff )</t>
  </si>
  <si>
    <r>
      <t xml:space="preserve">Hence Shear Stress </t>
    </r>
    <r>
      <rPr>
        <sz val="11"/>
        <color theme="1"/>
        <rFont val="Calibri"/>
        <family val="2"/>
      </rPr>
      <t>Ʈ</t>
    </r>
    <r>
      <rPr>
        <sz val="12.1"/>
        <color theme="1"/>
        <rFont val="Calibri"/>
        <family val="2"/>
      </rPr>
      <t>v</t>
    </r>
  </si>
  <si>
    <r>
      <rPr>
        <sz val="11"/>
        <color theme="1"/>
        <rFont val="Calibri"/>
        <family val="2"/>
      </rPr>
      <t>Ʈ</t>
    </r>
    <r>
      <rPr>
        <sz val="12.1"/>
        <color theme="1"/>
        <rFont val="Calibri"/>
        <family val="2"/>
      </rPr>
      <t>v allowable hence OK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</si>
</sst>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.2"/>
      <color theme="1"/>
      <name val="Calibri"/>
      <family val="2"/>
    </font>
    <font>
      <sz val="12.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4"/>
  <sheetViews>
    <sheetView tabSelected="1" topLeftCell="A68" zoomScale="110" zoomScaleNormal="110" workbookViewId="0">
      <selection activeCell="D75" sqref="D75"/>
    </sheetView>
  </sheetViews>
  <sheetFormatPr defaultRowHeight="15"/>
  <cols>
    <col min="1" max="1" width="42" customWidth="1"/>
    <col min="3" max="3" width="11" bestFit="1" customWidth="1"/>
    <col min="5" max="5" width="9.28515625" bestFit="1" customWidth="1"/>
    <col min="7" max="7" width="17.42578125" customWidth="1"/>
    <col min="10" max="10" width="13.140625" customWidth="1"/>
  </cols>
  <sheetData>
    <row r="1" spans="1:9">
      <c r="A1" s="1" t="s">
        <v>0</v>
      </c>
    </row>
    <row r="2" spans="1:9">
      <c r="A2" t="s">
        <v>1</v>
      </c>
      <c r="B2" t="s">
        <v>2</v>
      </c>
      <c r="C2">
        <v>15</v>
      </c>
      <c r="D2" t="s">
        <v>3</v>
      </c>
      <c r="G2" t="s">
        <v>68</v>
      </c>
      <c r="H2">
        <v>25</v>
      </c>
      <c r="I2" t="s">
        <v>69</v>
      </c>
    </row>
    <row r="3" spans="1:9">
      <c r="A3" t="s">
        <v>4</v>
      </c>
      <c r="B3" t="s">
        <v>2</v>
      </c>
      <c r="C3">
        <v>150</v>
      </c>
      <c r="D3" t="s">
        <v>3</v>
      </c>
    </row>
    <row r="4" spans="1:9">
      <c r="A4" t="s">
        <v>6</v>
      </c>
      <c r="B4" t="s">
        <v>2</v>
      </c>
      <c r="C4">
        <v>25</v>
      </c>
      <c r="D4" t="s">
        <v>5</v>
      </c>
    </row>
    <row r="5" spans="1:9">
      <c r="A5" t="s">
        <v>7</v>
      </c>
      <c r="B5" t="s">
        <v>2</v>
      </c>
      <c r="C5">
        <v>500</v>
      </c>
      <c r="D5" t="s">
        <v>5</v>
      </c>
    </row>
    <row r="6" spans="1:9">
      <c r="A6" t="s">
        <v>10</v>
      </c>
      <c r="B6" t="s">
        <v>2</v>
      </c>
      <c r="C6">
        <v>1.2</v>
      </c>
      <c r="D6" t="s">
        <v>9</v>
      </c>
      <c r="E6">
        <v>1200</v>
      </c>
      <c r="F6" t="s">
        <v>25</v>
      </c>
    </row>
    <row r="7" spans="1:9">
      <c r="A7" t="s">
        <v>11</v>
      </c>
      <c r="B7" t="s">
        <v>2</v>
      </c>
      <c r="C7">
        <v>1.2</v>
      </c>
      <c r="D7" t="s">
        <v>9</v>
      </c>
    </row>
    <row r="8" spans="1:9">
      <c r="A8" t="s">
        <v>8</v>
      </c>
      <c r="B8" t="s">
        <v>2</v>
      </c>
      <c r="C8">
        <v>3</v>
      </c>
      <c r="D8" t="s">
        <v>9</v>
      </c>
    </row>
    <row r="9" spans="1:9">
      <c r="A9" s="1" t="s">
        <v>12</v>
      </c>
    </row>
    <row r="10" spans="1:9">
      <c r="C10" t="s">
        <v>13</v>
      </c>
      <c r="D10" t="s">
        <v>14</v>
      </c>
      <c r="E10" t="s">
        <v>14</v>
      </c>
    </row>
    <row r="11" spans="1:9">
      <c r="A11" t="s">
        <v>67</v>
      </c>
      <c r="B11" t="s">
        <v>2</v>
      </c>
      <c r="C11">
        <v>15</v>
      </c>
      <c r="D11">
        <v>15</v>
      </c>
      <c r="E11">
        <v>0</v>
      </c>
      <c r="F11" t="s">
        <v>15</v>
      </c>
    </row>
    <row r="12" spans="1:9">
      <c r="A12" t="s">
        <v>16</v>
      </c>
      <c r="B12" t="s">
        <v>2</v>
      </c>
      <c r="C12">
        <f>C6*C7*C8*H2</f>
        <v>108</v>
      </c>
      <c r="D12">
        <f>C6*C7*C8*H2</f>
        <v>108</v>
      </c>
      <c r="E12">
        <f>C6*C7*C8*H2</f>
        <v>108</v>
      </c>
    </row>
    <row r="13" spans="1:9">
      <c r="A13" t="s">
        <v>17</v>
      </c>
      <c r="B13" t="s">
        <v>2</v>
      </c>
      <c r="C13">
        <f>(C19*C20-C6*C7)*C8*C2</f>
        <v>238.38750000000005</v>
      </c>
      <c r="D13">
        <f>(C19*C20-C6*C7)*C8*C2</f>
        <v>238.38750000000005</v>
      </c>
      <c r="E13">
        <f>(C19*C20-C6*C7)*C8*C2</f>
        <v>238.38750000000005</v>
      </c>
    </row>
    <row r="14" spans="1:9">
      <c r="A14" t="s">
        <v>18</v>
      </c>
      <c r="B14" t="s">
        <v>2</v>
      </c>
      <c r="C14">
        <f>SUM(C11:C13)</f>
        <v>361.38750000000005</v>
      </c>
      <c r="D14">
        <f>SUM(D11:D13)</f>
        <v>361.38750000000005</v>
      </c>
      <c r="E14">
        <f>SUM(E11:E13)</f>
        <v>346.38750000000005</v>
      </c>
    </row>
    <row r="15" spans="1:9">
      <c r="A15" t="s">
        <v>19</v>
      </c>
      <c r="B15" t="s">
        <v>2</v>
      </c>
      <c r="C15">
        <v>0</v>
      </c>
      <c r="D15">
        <v>19</v>
      </c>
      <c r="E15">
        <v>0</v>
      </c>
      <c r="F15" t="s">
        <v>20</v>
      </c>
    </row>
    <row r="16" spans="1:9">
      <c r="A16" t="s">
        <v>21</v>
      </c>
      <c r="B16" t="s">
        <v>2</v>
      </c>
      <c r="C16">
        <v>3</v>
      </c>
      <c r="D16">
        <v>172</v>
      </c>
      <c r="E16">
        <v>0</v>
      </c>
      <c r="F16" t="s">
        <v>20</v>
      </c>
    </row>
    <row r="18" spans="1:6">
      <c r="A18" s="1" t="s">
        <v>22</v>
      </c>
    </row>
    <row r="19" spans="1:6">
      <c r="A19" t="s">
        <v>23</v>
      </c>
      <c r="B19" t="s">
        <v>2</v>
      </c>
      <c r="C19">
        <v>2.75</v>
      </c>
      <c r="D19" t="s">
        <v>9</v>
      </c>
      <c r="E19">
        <v>2750</v>
      </c>
      <c r="F19" t="s">
        <v>25</v>
      </c>
    </row>
    <row r="20" spans="1:6">
      <c r="A20" t="s">
        <v>24</v>
      </c>
      <c r="B20" t="s">
        <v>2</v>
      </c>
      <c r="C20">
        <v>2.4500000000000002</v>
      </c>
      <c r="D20" t="s">
        <v>9</v>
      </c>
      <c r="E20">
        <v>2450</v>
      </c>
      <c r="F20" t="s">
        <v>25</v>
      </c>
    </row>
    <row r="21" spans="1:6">
      <c r="A21" t="s">
        <v>26</v>
      </c>
      <c r="B21" t="s">
        <v>2</v>
      </c>
      <c r="C21">
        <v>0.38</v>
      </c>
      <c r="D21" t="s">
        <v>9</v>
      </c>
      <c r="E21">
        <v>380</v>
      </c>
      <c r="F21" t="s">
        <v>25</v>
      </c>
    </row>
    <row r="22" spans="1:6">
      <c r="A22" t="s">
        <v>27</v>
      </c>
      <c r="B22" t="s">
        <v>2</v>
      </c>
      <c r="C22">
        <v>0.38</v>
      </c>
      <c r="D22" t="s">
        <v>9</v>
      </c>
      <c r="E22">
        <v>380</v>
      </c>
      <c r="F22" t="s">
        <v>25</v>
      </c>
    </row>
    <row r="23" spans="1:6">
      <c r="A23" t="s">
        <v>28</v>
      </c>
      <c r="B23" t="s">
        <v>2</v>
      </c>
      <c r="C23">
        <v>0</v>
      </c>
    </row>
    <row r="24" spans="1:6">
      <c r="A24" t="s">
        <v>29</v>
      </c>
      <c r="B24" t="s">
        <v>2</v>
      </c>
      <c r="C24">
        <v>50</v>
      </c>
      <c r="D24" t="s">
        <v>25</v>
      </c>
    </row>
    <row r="25" spans="1:6">
      <c r="A25" t="s">
        <v>30</v>
      </c>
      <c r="B25" t="s">
        <v>2</v>
      </c>
      <c r="C25">
        <v>12</v>
      </c>
      <c r="D25" t="s">
        <v>25</v>
      </c>
    </row>
    <row r="26" spans="1:6">
      <c r="A26" t="s">
        <v>31</v>
      </c>
      <c r="B26" t="s">
        <v>2</v>
      </c>
      <c r="C26">
        <f>E21-C24-L55/2</f>
        <v>324</v>
      </c>
      <c r="D26" t="s">
        <v>25</v>
      </c>
      <c r="E26">
        <v>0.32400000000000001</v>
      </c>
      <c r="F26" t="s">
        <v>9</v>
      </c>
    </row>
    <row r="27" spans="1:6">
      <c r="A27" t="s">
        <v>32</v>
      </c>
      <c r="B27" t="s">
        <v>2</v>
      </c>
      <c r="C27">
        <f>E21-C24-L55/2</f>
        <v>324</v>
      </c>
      <c r="D27" t="s">
        <v>25</v>
      </c>
    </row>
    <row r="28" spans="1:6">
      <c r="A28" t="s">
        <v>40</v>
      </c>
      <c r="B28" t="s">
        <v>2</v>
      </c>
      <c r="C28">
        <f>C29*C21*H2</f>
        <v>64.006250000000009</v>
      </c>
      <c r="D28" t="s">
        <v>15</v>
      </c>
    </row>
    <row r="29" spans="1:6">
      <c r="A29" t="s">
        <v>33</v>
      </c>
      <c r="B29" t="s">
        <v>2</v>
      </c>
      <c r="C29">
        <f>C19*C20</f>
        <v>6.7375000000000007</v>
      </c>
      <c r="D29" t="s">
        <v>34</v>
      </c>
    </row>
    <row r="30" spans="1:6">
      <c r="A30" t="s">
        <v>73</v>
      </c>
      <c r="B30" t="s">
        <v>2</v>
      </c>
      <c r="C30">
        <v>2.75</v>
      </c>
      <c r="D30" t="s">
        <v>35</v>
      </c>
    </row>
    <row r="31" spans="1:6">
      <c r="A31" t="s">
        <v>74</v>
      </c>
      <c r="B31" t="s">
        <v>2</v>
      </c>
      <c r="C31">
        <v>3.09</v>
      </c>
      <c r="D31" t="s">
        <v>35</v>
      </c>
    </row>
    <row r="33" spans="1:6">
      <c r="A33" s="1" t="s">
        <v>36</v>
      </c>
    </row>
    <row r="34" spans="1:6">
      <c r="C34" t="s">
        <v>37</v>
      </c>
      <c r="D34" t="s">
        <v>38</v>
      </c>
      <c r="E34" t="s">
        <v>38</v>
      </c>
    </row>
    <row r="35" spans="1:6">
      <c r="A35" t="s">
        <v>39</v>
      </c>
      <c r="B35" t="s">
        <v>2</v>
      </c>
      <c r="C35">
        <f>C14+C28</f>
        <v>425.39375000000007</v>
      </c>
      <c r="D35">
        <f>D14+C28</f>
        <v>425.39375000000007</v>
      </c>
      <c r="E35">
        <f>E14+C28</f>
        <v>410.39375000000007</v>
      </c>
      <c r="F35" t="s">
        <v>15</v>
      </c>
    </row>
    <row r="36" spans="1:6">
      <c r="A36" t="s">
        <v>41</v>
      </c>
      <c r="B36" t="s">
        <v>2</v>
      </c>
      <c r="C36">
        <f>C35/C29+C15/C30+C16/C31</f>
        <v>64.109092710340988</v>
      </c>
      <c r="D36">
        <f>D35/C29+D15/C30+D16/C31</f>
        <v>125.71074025373611</v>
      </c>
      <c r="E36">
        <f>E35/C29+E15/C30+E16/C31</f>
        <v>60.911873840445274</v>
      </c>
      <c r="F36" t="s">
        <v>3</v>
      </c>
    </row>
    <row r="37" spans="1:6">
      <c r="A37" t="s">
        <v>42</v>
      </c>
      <c r="B37" t="s">
        <v>2</v>
      </c>
      <c r="C37">
        <f>C35/C29-C15/C30-C16/C31</f>
        <v>62.167345137525452</v>
      </c>
      <c r="D37">
        <f>D35/C29-D15/C30-D16/C31</f>
        <v>0.56569759413033438</v>
      </c>
      <c r="E37">
        <f>E35/C29-E15/C30-E16/C31</f>
        <v>60.911873840445274</v>
      </c>
      <c r="F37" t="s">
        <v>3</v>
      </c>
    </row>
    <row r="38" spans="1:6">
      <c r="A38" t="s">
        <v>71</v>
      </c>
      <c r="B38" t="s">
        <v>2</v>
      </c>
      <c r="C38">
        <v>64.11</v>
      </c>
      <c r="D38">
        <v>125.74</v>
      </c>
      <c r="E38">
        <v>60.91</v>
      </c>
      <c r="F38" t="s">
        <v>3</v>
      </c>
    </row>
    <row r="39" spans="1:6">
      <c r="A39" t="s">
        <v>70</v>
      </c>
      <c r="B39" t="s">
        <v>2</v>
      </c>
      <c r="C39">
        <v>64.11</v>
      </c>
      <c r="D39">
        <v>125.74</v>
      </c>
      <c r="E39">
        <v>60.91</v>
      </c>
      <c r="F39" t="s">
        <v>3</v>
      </c>
    </row>
    <row r="40" spans="1:6">
      <c r="A40" t="s">
        <v>43</v>
      </c>
      <c r="B40" t="s">
        <v>2</v>
      </c>
      <c r="C40">
        <v>64.11</v>
      </c>
      <c r="D40">
        <v>125.74</v>
      </c>
      <c r="E40">
        <v>60.91</v>
      </c>
      <c r="F40" t="s">
        <v>3</v>
      </c>
    </row>
    <row r="41" spans="1:6">
      <c r="A41" t="s">
        <v>75</v>
      </c>
      <c r="B41" t="s">
        <v>2</v>
      </c>
      <c r="C41">
        <f>C3</f>
        <v>150</v>
      </c>
      <c r="D41">
        <f>C3+0.25*C3</f>
        <v>187.5</v>
      </c>
      <c r="E41">
        <f>C3+0.25*C3</f>
        <v>187.5</v>
      </c>
      <c r="F41" t="s">
        <v>3</v>
      </c>
    </row>
    <row r="42" spans="1:6">
      <c r="A42" t="s">
        <v>44</v>
      </c>
      <c r="C42" t="s">
        <v>45</v>
      </c>
      <c r="D42" t="s">
        <v>45</v>
      </c>
      <c r="E42" t="s">
        <v>45</v>
      </c>
      <c r="F42" t="s">
        <v>46</v>
      </c>
    </row>
    <row r="44" spans="1:6">
      <c r="A44" s="1" t="s">
        <v>47</v>
      </c>
    </row>
    <row r="45" spans="1:6">
      <c r="C45" t="s">
        <v>37</v>
      </c>
      <c r="D45" t="s">
        <v>48</v>
      </c>
      <c r="E45" t="s">
        <v>48</v>
      </c>
    </row>
    <row r="46" spans="1:6">
      <c r="A46" t="s">
        <v>49</v>
      </c>
      <c r="B46" t="s">
        <v>2</v>
      </c>
      <c r="C46">
        <v>1.5</v>
      </c>
      <c r="D46">
        <v>1.5</v>
      </c>
      <c r="E46">
        <v>1.5</v>
      </c>
      <c r="F46" t="s">
        <v>15</v>
      </c>
    </row>
    <row r="47" spans="1:6">
      <c r="A47" t="s">
        <v>50</v>
      </c>
      <c r="B47" t="s">
        <v>2</v>
      </c>
      <c r="C47">
        <f>C36*C46</f>
        <v>96.163639065511489</v>
      </c>
      <c r="D47">
        <f>D36*D46</f>
        <v>188.56611038060416</v>
      </c>
      <c r="E47">
        <f>E36*E46</f>
        <v>91.367810760667908</v>
      </c>
      <c r="F47" t="s">
        <v>3</v>
      </c>
    </row>
    <row r="48" spans="1:6">
      <c r="A48" t="s">
        <v>51</v>
      </c>
      <c r="B48" t="s">
        <v>2</v>
      </c>
      <c r="C48" t="s">
        <v>52</v>
      </c>
      <c r="E48">
        <v>188.61</v>
      </c>
      <c r="F48" t="s">
        <v>3</v>
      </c>
    </row>
    <row r="49" spans="1:13">
      <c r="A49" t="s">
        <v>53</v>
      </c>
    </row>
    <row r="51" spans="1:13">
      <c r="A51" s="1" t="s">
        <v>54</v>
      </c>
      <c r="J51" t="s">
        <v>57</v>
      </c>
      <c r="K51" t="s">
        <v>2</v>
      </c>
      <c r="L51">
        <f>0.48*C26</f>
        <v>155.51999999999998</v>
      </c>
    </row>
    <row r="52" spans="1:13">
      <c r="A52" t="s">
        <v>55</v>
      </c>
      <c r="B52" t="s">
        <v>2</v>
      </c>
      <c r="C52">
        <f>(E48*C6^2)/2</f>
        <v>135.79920000000001</v>
      </c>
      <c r="D52" t="s">
        <v>20</v>
      </c>
    </row>
    <row r="53" spans="1:13">
      <c r="A53" t="s">
        <v>56</v>
      </c>
      <c r="B53" t="s">
        <v>2</v>
      </c>
      <c r="C53">
        <f>0.36*C4*E20*L51*(C26-0.42*L51)</f>
        <v>887075081.62559986</v>
      </c>
      <c r="D53" t="s">
        <v>76</v>
      </c>
      <c r="E53">
        <v>887.07500000000005</v>
      </c>
      <c r="F53" t="s">
        <v>20</v>
      </c>
    </row>
    <row r="54" spans="1:13">
      <c r="J54" s="2" t="s">
        <v>60</v>
      </c>
      <c r="K54" t="s">
        <v>2</v>
      </c>
      <c r="L54">
        <v>3.14</v>
      </c>
    </row>
    <row r="55" spans="1:13">
      <c r="A55" t="s">
        <v>58</v>
      </c>
      <c r="B55" t="s">
        <v>2</v>
      </c>
      <c r="C55">
        <f>((0.5*C4)/C5)*(1-SQRT(1-((4.6*E53)/(C4*E20*C26^2))))*E20*C26</f>
        <v>6.297138345038312E-3</v>
      </c>
      <c r="D55" t="s">
        <v>72</v>
      </c>
      <c r="J55" s="2" t="s">
        <v>61</v>
      </c>
      <c r="K55" t="s">
        <v>2</v>
      </c>
      <c r="L55">
        <v>12</v>
      </c>
      <c r="M55" t="s">
        <v>25</v>
      </c>
    </row>
    <row r="56" spans="1:13" ht="15.75" customHeight="1"/>
    <row r="57" spans="1:13" ht="18">
      <c r="A57" t="s">
        <v>62</v>
      </c>
      <c r="B57" t="s">
        <v>2</v>
      </c>
      <c r="C57">
        <f>C55/((L54/4)/L55^2)</f>
        <v>1.1551438492809132</v>
      </c>
      <c r="D57" t="s">
        <v>25</v>
      </c>
    </row>
    <row r="58" spans="1:13">
      <c r="A58" t="s">
        <v>59</v>
      </c>
      <c r="B58" t="s">
        <v>2</v>
      </c>
      <c r="D58" t="s">
        <v>25</v>
      </c>
    </row>
    <row r="59" spans="1:13">
      <c r="A59" t="s">
        <v>77</v>
      </c>
    </row>
    <row r="61" spans="1:13">
      <c r="A61" t="s">
        <v>63</v>
      </c>
      <c r="B61" t="s">
        <v>2</v>
      </c>
      <c r="C61">
        <f>E47*C6^2/2</f>
        <v>65.784823747680889</v>
      </c>
      <c r="D61" t="s">
        <v>20</v>
      </c>
    </row>
    <row r="62" spans="1:13">
      <c r="A62" t="s">
        <v>56</v>
      </c>
      <c r="B62" t="s">
        <v>2</v>
      </c>
    </row>
    <row r="63" spans="1:13">
      <c r="A63" s="1" t="s">
        <v>78</v>
      </c>
      <c r="B63" t="s">
        <v>2</v>
      </c>
      <c r="C63">
        <v>324</v>
      </c>
      <c r="D63" t="s">
        <v>25</v>
      </c>
    </row>
    <row r="64" spans="1:13">
      <c r="A64" t="s">
        <v>58</v>
      </c>
      <c r="B64" t="s">
        <v>2</v>
      </c>
    </row>
    <row r="65" spans="1:6">
      <c r="A65" t="s">
        <v>79</v>
      </c>
      <c r="B65" t="s">
        <v>2</v>
      </c>
    </row>
    <row r="66" spans="1:6">
      <c r="A66" t="s">
        <v>80</v>
      </c>
    </row>
    <row r="67" spans="1:6">
      <c r="A67" s="1" t="s">
        <v>64</v>
      </c>
    </row>
    <row r="68" spans="1:6">
      <c r="A68" t="s">
        <v>65</v>
      </c>
    </row>
    <row r="69" spans="1:6">
      <c r="A69" t="s">
        <v>66</v>
      </c>
      <c r="D69" t="s">
        <v>2</v>
      </c>
      <c r="E69">
        <f>C26-((C26-E22)/0.5*(E19-E6))*C26</f>
        <v>56246724</v>
      </c>
      <c r="F69" t="s">
        <v>25</v>
      </c>
    </row>
    <row r="70" spans="1:6">
      <c r="A70" t="s">
        <v>81</v>
      </c>
      <c r="D70" t="s">
        <v>2</v>
      </c>
    </row>
    <row r="71" spans="1:6">
      <c r="A71" t="s">
        <v>82</v>
      </c>
      <c r="D71" t="s">
        <v>2</v>
      </c>
    </row>
    <row r="72" spans="1:6">
      <c r="A72" t="s">
        <v>83</v>
      </c>
    </row>
    <row r="73" spans="1:6">
      <c r="A73" t="s">
        <v>84</v>
      </c>
    </row>
    <row r="74" spans="1:6" ht="15.75">
      <c r="A74" t="s">
        <v>85</v>
      </c>
      <c r="B74" t="s">
        <v>2</v>
      </c>
    </row>
    <row r="75" spans="1:6" ht="15.75">
      <c r="A75" s="2" t="s">
        <v>89</v>
      </c>
      <c r="B75" t="s">
        <v>2</v>
      </c>
      <c r="C75">
        <f>0.25*SQRT(C4)</f>
        <v>1.25</v>
      </c>
      <c r="D75" t="s">
        <v>5</v>
      </c>
    </row>
    <row r="76" spans="1:6">
      <c r="A76" s="2" t="s">
        <v>86</v>
      </c>
    </row>
    <row r="78" spans="1:6">
      <c r="A78" t="s">
        <v>87</v>
      </c>
    </row>
    <row r="79" spans="1:6">
      <c r="A79" t="s">
        <v>92</v>
      </c>
    </row>
    <row r="80" spans="1:6">
      <c r="A80" t="s">
        <v>91</v>
      </c>
    </row>
    <row r="81" spans="1:4">
      <c r="A81" t="s">
        <v>93</v>
      </c>
    </row>
    <row r="82" spans="1:4">
      <c r="A82" t="s">
        <v>94</v>
      </c>
    </row>
    <row r="83" spans="1:4">
      <c r="A83" t="s">
        <v>84</v>
      </c>
    </row>
    <row r="84" spans="1:4">
      <c r="A84" t="s">
        <v>88</v>
      </c>
    </row>
    <row r="85" spans="1:4">
      <c r="A85" t="s">
        <v>90</v>
      </c>
    </row>
    <row r="86" spans="1:4">
      <c r="A86" t="s">
        <v>86</v>
      </c>
    </row>
    <row r="88" spans="1:4">
      <c r="A88" t="s">
        <v>95</v>
      </c>
    </row>
    <row r="89" spans="1:4">
      <c r="A89" t="s">
        <v>96</v>
      </c>
    </row>
    <row r="90" spans="1:4" ht="15.75">
      <c r="A90" t="s">
        <v>97</v>
      </c>
    </row>
    <row r="91" spans="1:4">
      <c r="A91" t="s">
        <v>98</v>
      </c>
    </row>
    <row r="92" spans="1:4">
      <c r="A92" t="s">
        <v>99</v>
      </c>
    </row>
    <row r="93" spans="1:4" ht="15.75">
      <c r="A93" s="2" t="s">
        <v>100</v>
      </c>
      <c r="B93" t="s">
        <v>2</v>
      </c>
      <c r="C93">
        <v>1.25</v>
      </c>
      <c r="D93" t="s">
        <v>5</v>
      </c>
    </row>
    <row r="95" spans="1:4" ht="15.75">
      <c r="A95" s="2" t="s">
        <v>101</v>
      </c>
      <c r="B95" t="s">
        <v>2</v>
      </c>
      <c r="C95">
        <v>1.25</v>
      </c>
      <c r="D95" t="s">
        <v>5</v>
      </c>
    </row>
    <row r="96" spans="1:4">
      <c r="A96" s="2" t="s">
        <v>92</v>
      </c>
      <c r="C96">
        <v>324</v>
      </c>
      <c r="D96" t="s">
        <v>25</v>
      </c>
    </row>
    <row r="97" spans="1:6">
      <c r="A97" s="2" t="s">
        <v>102</v>
      </c>
      <c r="B97" t="s">
        <v>2</v>
      </c>
      <c r="C97">
        <v>1524</v>
      </c>
      <c r="D97" t="s">
        <v>25</v>
      </c>
      <c r="E97">
        <v>1.524</v>
      </c>
      <c r="F97" t="s">
        <v>9</v>
      </c>
    </row>
    <row r="98" spans="1:6">
      <c r="A98" s="2" t="s">
        <v>103</v>
      </c>
      <c r="B98" t="s">
        <v>2</v>
      </c>
      <c r="C98">
        <f>E48*(C19*C20-E97*E97)</f>
        <v>832.69881564000025</v>
      </c>
      <c r="D98" t="s">
        <v>15</v>
      </c>
    </row>
    <row r="99" spans="1:6">
      <c r="A99" s="2" t="s">
        <v>104</v>
      </c>
      <c r="B99" t="s">
        <v>2</v>
      </c>
      <c r="C99">
        <f>2*(C97+C97)</f>
        <v>6096</v>
      </c>
      <c r="D99" t="s">
        <v>25</v>
      </c>
    </row>
    <row r="100" spans="1:6">
      <c r="A100" s="2" t="s">
        <v>105</v>
      </c>
      <c r="C100">
        <f>C99*C96</f>
        <v>1975104</v>
      </c>
    </row>
    <row r="102" spans="1:6" ht="15.75">
      <c r="A102" t="s">
        <v>106</v>
      </c>
      <c r="B102" t="s">
        <v>2</v>
      </c>
      <c r="C102">
        <v>0.42199999999999999</v>
      </c>
      <c r="D102" t="s">
        <v>5</v>
      </c>
    </row>
    <row r="104" spans="1:6" ht="15.75">
      <c r="A104" s="2" t="s">
        <v>107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dcterms:created xsi:type="dcterms:W3CDTF">2015-09-24T03:00:30Z</dcterms:created>
  <dcterms:modified xsi:type="dcterms:W3CDTF">2015-09-24T18:18:06Z</dcterms:modified>
</cp:coreProperties>
</file>